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N:\CONTPROC\Project Related &amp; Letting Specific Bulletins\2026\September 24, 2026\"/>
    </mc:Choice>
  </mc:AlternateContent>
  <xr:revisionPtr revIDLastSave="0" documentId="8_{7F290941-22B8-4BEB-B533-ABAF0F609A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-EW-1" sheetId="1" r:id="rId1"/>
    <sheet name="CA-EW-2" sheetId="2" r:id="rId2"/>
    <sheet name="CA-EW-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1" i="3" l="1"/>
  <c r="H41" i="3"/>
  <c r="G41" i="3"/>
  <c r="E41" i="3"/>
  <c r="C41" i="3"/>
  <c r="B40" i="3"/>
  <c r="D41" i="3" s="1"/>
  <c r="F38" i="3"/>
  <c r="B38" i="3"/>
  <c r="C39" i="3" s="1"/>
  <c r="F36" i="3"/>
  <c r="B36" i="3"/>
  <c r="G35" i="3"/>
  <c r="C35" i="3"/>
  <c r="F34" i="3"/>
  <c r="B34" i="3"/>
  <c r="G33" i="3"/>
  <c r="C33" i="3"/>
  <c r="F32" i="3"/>
  <c r="B32" i="3"/>
  <c r="F30" i="3"/>
  <c r="G31" i="3" s="1"/>
  <c r="B30" i="3"/>
  <c r="C29" i="3"/>
  <c r="F28" i="3"/>
  <c r="G29" i="3" s="1"/>
  <c r="F26" i="3"/>
  <c r="G27" i="3" s="1"/>
  <c r="B26" i="3"/>
  <c r="F24" i="3"/>
  <c r="B24" i="3"/>
  <c r="C23" i="3"/>
  <c r="F22" i="3"/>
  <c r="B22" i="3"/>
  <c r="F20" i="3"/>
  <c r="B20" i="3"/>
  <c r="D19" i="3" s="1"/>
  <c r="E19" i="3" s="1"/>
  <c r="G19" i="3"/>
  <c r="C19" i="3"/>
  <c r="F18" i="3"/>
  <c r="B18" i="3"/>
  <c r="A18" i="3"/>
  <c r="A20" i="3" s="1"/>
  <c r="A22" i="3" s="1"/>
  <c r="A24" i="3" s="1"/>
  <c r="A26" i="3" s="1"/>
  <c r="A28" i="3" s="1"/>
  <c r="A30" i="3" s="1"/>
  <c r="H17" i="3"/>
  <c r="G17" i="3"/>
  <c r="I17" i="3" s="1"/>
  <c r="F16" i="3"/>
  <c r="B16" i="3"/>
  <c r="D17" i="3" s="1"/>
  <c r="A16" i="3"/>
  <c r="H15" i="3"/>
  <c r="G15" i="3"/>
  <c r="F14" i="3"/>
  <c r="B14" i="3"/>
  <c r="A14" i="3"/>
  <c r="B12" i="3"/>
  <c r="F42" i="2"/>
  <c r="F12" i="3" s="1"/>
  <c r="B42" i="2"/>
  <c r="G41" i="2"/>
  <c r="C41" i="2"/>
  <c r="F40" i="2"/>
  <c r="B40" i="2"/>
  <c r="G39" i="2"/>
  <c r="F38" i="2"/>
  <c r="B38" i="2"/>
  <c r="F36" i="2"/>
  <c r="B36" i="2"/>
  <c r="C37" i="2" s="1"/>
  <c r="G35" i="2"/>
  <c r="F34" i="2"/>
  <c r="B34" i="2"/>
  <c r="F32" i="2"/>
  <c r="G33" i="2" s="1"/>
  <c r="B32" i="2"/>
  <c r="F30" i="2"/>
  <c r="B30" i="2"/>
  <c r="C31" i="2" s="1"/>
  <c r="C29" i="2"/>
  <c r="F28" i="2"/>
  <c r="C27" i="2"/>
  <c r="F24" i="2"/>
  <c r="B24" i="2"/>
  <c r="F22" i="2"/>
  <c r="B22" i="2"/>
  <c r="C21" i="2"/>
  <c r="F20" i="2"/>
  <c r="B20" i="2"/>
  <c r="G19" i="2"/>
  <c r="C19" i="2"/>
  <c r="F18" i="2"/>
  <c r="B18" i="2"/>
  <c r="G17" i="2"/>
  <c r="F16" i="2"/>
  <c r="B16" i="2"/>
  <c r="A16" i="2"/>
  <c r="A18" i="2" s="1"/>
  <c r="A20" i="2" s="1"/>
  <c r="F14" i="2"/>
  <c r="B14" i="2"/>
  <c r="C15" i="2" s="1"/>
  <c r="A14" i="2"/>
  <c r="G13" i="2"/>
  <c r="I13" i="2" s="1"/>
  <c r="F12" i="2"/>
  <c r="H13" i="2" s="1"/>
  <c r="B12" i="2"/>
  <c r="F42" i="1"/>
  <c r="B42" i="1"/>
  <c r="G41" i="1"/>
  <c r="C41" i="1"/>
  <c r="F40" i="1"/>
  <c r="B40" i="1"/>
  <c r="G39" i="1"/>
  <c r="C39" i="1"/>
  <c r="F38" i="1"/>
  <c r="B38" i="1"/>
  <c r="G37" i="1"/>
  <c r="F36" i="1"/>
  <c r="B36" i="1"/>
  <c r="F34" i="1"/>
  <c r="G35" i="1" s="1"/>
  <c r="B34" i="1"/>
  <c r="C35" i="1" s="1"/>
  <c r="F32" i="1"/>
  <c r="G33" i="1" s="1"/>
  <c r="B32" i="1"/>
  <c r="C33" i="1" s="1"/>
  <c r="F30" i="1"/>
  <c r="B30" i="1"/>
  <c r="C29" i="1"/>
  <c r="F28" i="1"/>
  <c r="B28" i="1"/>
  <c r="C27" i="1"/>
  <c r="F26" i="1"/>
  <c r="B26" i="1"/>
  <c r="C25" i="1"/>
  <c r="F24" i="1"/>
  <c r="G25" i="1" s="1"/>
  <c r="B24" i="1"/>
  <c r="G23" i="1"/>
  <c r="F22" i="1"/>
  <c r="B22" i="1"/>
  <c r="C23" i="1" s="1"/>
  <c r="G21" i="1"/>
  <c r="F20" i="1"/>
  <c r="B20" i="1"/>
  <c r="C19" i="1"/>
  <c r="F18" i="1"/>
  <c r="G19" i="1" s="1"/>
  <c r="B18" i="1"/>
  <c r="A18" i="1"/>
  <c r="A20" i="1" s="1"/>
  <c r="F16" i="1"/>
  <c r="B16" i="1"/>
  <c r="C17" i="1" s="1"/>
  <c r="A16" i="1"/>
  <c r="C15" i="1"/>
  <c r="F14" i="1"/>
  <c r="B14" i="1"/>
  <c r="A14" i="1"/>
  <c r="H13" i="1"/>
  <c r="C13" i="1"/>
  <c r="H19" i="1" l="1"/>
  <c r="A22" i="1"/>
  <c r="D19" i="1"/>
  <c r="E19" i="1"/>
  <c r="I19" i="1"/>
  <c r="D19" i="2"/>
  <c r="E19" i="2" s="1"/>
  <c r="A22" i="2"/>
  <c r="H21" i="2" s="1"/>
  <c r="I21" i="2" s="1"/>
  <c r="D17" i="2"/>
  <c r="E13" i="3"/>
  <c r="I29" i="3"/>
  <c r="A32" i="3"/>
  <c r="H29" i="3"/>
  <c r="D29" i="3"/>
  <c r="E21" i="1"/>
  <c r="I25" i="3"/>
  <c r="E27" i="3"/>
  <c r="E29" i="3"/>
  <c r="H13" i="3"/>
  <c r="I13" i="3" s="1"/>
  <c r="G13" i="3"/>
  <c r="E15" i="3"/>
  <c r="D15" i="2"/>
  <c r="H17" i="1"/>
  <c r="E15" i="2"/>
  <c r="H27" i="3"/>
  <c r="C31" i="1"/>
  <c r="G21" i="2"/>
  <c r="G17" i="1"/>
  <c r="I17" i="1" s="1"/>
  <c r="G15" i="2"/>
  <c r="I15" i="2" s="1"/>
  <c r="G37" i="2"/>
  <c r="C21" i="3"/>
  <c r="E21" i="3" s="1"/>
  <c r="I27" i="3"/>
  <c r="H15" i="2"/>
  <c r="C23" i="2"/>
  <c r="D21" i="3"/>
  <c r="G21" i="3"/>
  <c r="G23" i="2"/>
  <c r="H21" i="3"/>
  <c r="I21" i="3" s="1"/>
  <c r="G31" i="2"/>
  <c r="C15" i="3"/>
  <c r="C17" i="2"/>
  <c r="C39" i="2"/>
  <c r="D15" i="3"/>
  <c r="C37" i="3"/>
  <c r="H17" i="2"/>
  <c r="I17" i="2" s="1"/>
  <c r="C25" i="2"/>
  <c r="I15" i="3"/>
  <c r="D23" i="3"/>
  <c r="E23" i="3" s="1"/>
  <c r="G37" i="3"/>
  <c r="C33" i="2"/>
  <c r="G23" i="3"/>
  <c r="I23" i="3" s="1"/>
  <c r="C31" i="3"/>
  <c r="C21" i="1"/>
  <c r="G25" i="2"/>
  <c r="H23" i="3"/>
  <c r="D21" i="1"/>
  <c r="C17" i="3"/>
  <c r="E17" i="3" s="1"/>
  <c r="D13" i="1"/>
  <c r="E13" i="1"/>
  <c r="G27" i="1"/>
  <c r="G13" i="1"/>
  <c r="I13" i="1" s="1"/>
  <c r="D25" i="3"/>
  <c r="G39" i="3"/>
  <c r="C25" i="3"/>
  <c r="E25" i="3" s="1"/>
  <c r="D15" i="1"/>
  <c r="E15" i="1" s="1"/>
  <c r="H19" i="2"/>
  <c r="G29" i="1"/>
  <c r="C13" i="2"/>
  <c r="E13" i="2" s="1"/>
  <c r="I19" i="2"/>
  <c r="G27" i="2"/>
  <c r="C35" i="2"/>
  <c r="G15" i="1"/>
  <c r="I15" i="1" s="1"/>
  <c r="C37" i="1"/>
  <c r="D13" i="2"/>
  <c r="G25" i="3"/>
  <c r="H15" i="1"/>
  <c r="H25" i="3"/>
  <c r="H19" i="3"/>
  <c r="I19" i="3" s="1"/>
  <c r="C27" i="3"/>
  <c r="D17" i="1"/>
  <c r="G29" i="2"/>
  <c r="C13" i="3"/>
  <c r="D27" i="3"/>
  <c r="E17" i="1"/>
  <c r="G31" i="1"/>
  <c r="D13" i="3"/>
  <c r="A34" i="3" l="1"/>
  <c r="H31" i="3"/>
  <c r="I31" i="3" s="1"/>
  <c r="D31" i="3"/>
  <c r="E31" i="3" s="1"/>
  <c r="E17" i="2"/>
  <c r="A24" i="1"/>
  <c r="H21" i="1"/>
  <c r="I21" i="1" s="1"/>
  <c r="A24" i="2"/>
  <c r="D21" i="2"/>
  <c r="E21" i="2" s="1"/>
  <c r="D23" i="1" l="1"/>
  <c r="E23" i="1" s="1"/>
  <c r="A26" i="1"/>
  <c r="H23" i="1"/>
  <c r="I23" i="1" s="1"/>
  <c r="H33" i="3"/>
  <c r="I33" i="3" s="1"/>
  <c r="A36" i="3"/>
  <c r="D33" i="3"/>
  <c r="E33" i="3" s="1"/>
  <c r="A26" i="2"/>
  <c r="D23" i="2"/>
  <c r="E23" i="2" s="1"/>
  <c r="H23" i="2"/>
  <c r="I23" i="2" s="1"/>
  <c r="A28" i="2" l="1"/>
  <c r="D25" i="2"/>
  <c r="E25" i="2" s="1"/>
  <c r="H25" i="2"/>
  <c r="I25" i="2" s="1"/>
  <c r="A38" i="3"/>
  <c r="H35" i="3"/>
  <c r="I35" i="3" s="1"/>
  <c r="D35" i="3"/>
  <c r="E35" i="3" s="1"/>
  <c r="A28" i="1"/>
  <c r="H25" i="1"/>
  <c r="I25" i="1" s="1"/>
  <c r="D25" i="1"/>
  <c r="E25" i="1" s="1"/>
  <c r="A30" i="1" l="1"/>
  <c r="D27" i="1"/>
  <c r="E27" i="1" s="1"/>
  <c r="H27" i="1"/>
  <c r="I27" i="1" s="1"/>
  <c r="D39" i="3"/>
  <c r="E39" i="3" s="1"/>
  <c r="E43" i="3" s="1"/>
  <c r="H37" i="3"/>
  <c r="I37" i="3" s="1"/>
  <c r="D37" i="3"/>
  <c r="E37" i="3" s="1"/>
  <c r="H39" i="3"/>
  <c r="I39" i="3" s="1"/>
  <c r="I43" i="3" s="1"/>
  <c r="A30" i="2"/>
  <c r="D27" i="2"/>
  <c r="E27" i="2" s="1"/>
  <c r="H27" i="2"/>
  <c r="I27" i="2" s="1"/>
  <c r="D29" i="2" l="1"/>
  <c r="E29" i="2" s="1"/>
  <c r="A32" i="2"/>
  <c r="H29" i="2"/>
  <c r="I29" i="2" s="1"/>
  <c r="A32" i="1"/>
  <c r="D29" i="1"/>
  <c r="E29" i="1" s="1"/>
  <c r="H29" i="1"/>
  <c r="I29" i="1" s="1"/>
  <c r="A34" i="2" l="1"/>
  <c r="H31" i="2"/>
  <c r="I31" i="2" s="1"/>
  <c r="D31" i="2"/>
  <c r="E31" i="2" s="1"/>
  <c r="A34" i="1"/>
  <c r="H31" i="1"/>
  <c r="I31" i="1" s="1"/>
  <c r="D31" i="1"/>
  <c r="E31" i="1" s="1"/>
  <c r="A36" i="1" l="1"/>
  <c r="D33" i="1"/>
  <c r="E33" i="1" s="1"/>
  <c r="H33" i="1"/>
  <c r="I33" i="1" s="1"/>
  <c r="A36" i="2"/>
  <c r="H33" i="2"/>
  <c r="I33" i="2" s="1"/>
  <c r="D33" i="2"/>
  <c r="E33" i="2" s="1"/>
  <c r="A38" i="2" l="1"/>
  <c r="D35" i="2"/>
  <c r="E35" i="2" s="1"/>
  <c r="H35" i="2"/>
  <c r="I35" i="2" s="1"/>
  <c r="H35" i="1"/>
  <c r="I35" i="1" s="1"/>
  <c r="A38" i="1"/>
  <c r="D35" i="1"/>
  <c r="E35" i="1" s="1"/>
  <c r="A40" i="1" l="1"/>
  <c r="H37" i="1"/>
  <c r="I37" i="1" s="1"/>
  <c r="D37" i="1"/>
  <c r="E37" i="1" s="1"/>
  <c r="A40" i="2"/>
  <c r="H37" i="2"/>
  <c r="I37" i="2" s="1"/>
  <c r="D37" i="2"/>
  <c r="E37" i="2" s="1"/>
  <c r="A42" i="2" l="1"/>
  <c r="H39" i="2"/>
  <c r="I39" i="2" s="1"/>
  <c r="D39" i="2"/>
  <c r="E39" i="2" s="1"/>
  <c r="A42" i="1"/>
  <c r="H39" i="1"/>
  <c r="I39" i="1" s="1"/>
  <c r="D39" i="1"/>
  <c r="E39" i="1" s="1"/>
  <c r="H41" i="1" l="1"/>
  <c r="I41" i="1" s="1"/>
  <c r="I43" i="1" s="1"/>
  <c r="D41" i="1"/>
  <c r="E41" i="1" s="1"/>
  <c r="E43" i="1" s="1"/>
  <c r="D41" i="2"/>
  <c r="E41" i="2" s="1"/>
  <c r="E43" i="2" s="1"/>
  <c r="H41" i="2"/>
  <c r="I41" i="2" s="1"/>
  <c r="I43" i="2" s="1"/>
</calcChain>
</file>

<file path=xl/sharedStrings.xml><?xml version="1.0" encoding="utf-8"?>
<sst xmlns="http://schemas.openxmlformats.org/spreadsheetml/2006/main" count="114" uniqueCount="26">
  <si>
    <t>CA-EW-1</t>
  </si>
  <si>
    <t>Earthwork Quantity Calculations</t>
  </si>
  <si>
    <t>CONTID</t>
  </si>
  <si>
    <t>Co-Rt-Sec</t>
  </si>
  <si>
    <t>Date</t>
  </si>
  <si>
    <t>ALTID</t>
  </si>
  <si>
    <t>CUTS</t>
  </si>
  <si>
    <t>Prop Line #</t>
  </si>
  <si>
    <t>FILLS</t>
  </si>
  <si>
    <t>End Area</t>
  </si>
  <si>
    <t>Average End Area</t>
  </si>
  <si>
    <t>Length Between Stations</t>
  </si>
  <si>
    <t>Volume</t>
  </si>
  <si>
    <t>Station</t>
  </si>
  <si>
    <t>ft²</t>
  </si>
  <si>
    <t>ft</t>
  </si>
  <si>
    <t>yd³</t>
  </si>
  <si>
    <t>Total cuts, yd³</t>
  </si>
  <si>
    <t>Total fills, yd³</t>
  </si>
  <si>
    <t>(Area 1 + Area 2) ÷ 2 = Average End Area          Average End Area × Length ÷ 27 = Volume</t>
  </si>
  <si>
    <t>ft² — square foot          yd³ — cubic yard</t>
  </si>
  <si>
    <t>Terry McCleese</t>
  </si>
  <si>
    <t>Calculated by</t>
  </si>
  <si>
    <t>Checked by</t>
  </si>
  <si>
    <t>ODOT Form date: 2/22/14</t>
  </si>
  <si>
    <t>01_9031_00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</si>
</sst>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_);\(&quot;$&quot;#,##0\)"/>
    <numFmt numFmtId="164" formatCode="000\+00"/>
    <numFmt numFmtId="165" formatCode="m/d/yy;@"/>
  </numFmts>
  <fonts count="9" x14ac:knownFonts="1">
    <font>
      <sz val="10"/>
      <name val="Arial"/>
    </font>
    <font>
      <b/>
      <sz val="18"/>
      <name val="Arial"/>
    </font>
    <font>
      <b/>
      <sz val="12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i/>
      <sz val="10"/>
      <name val="Arial"/>
    </font>
    <font>
      <sz val="8"/>
      <name val="Times New Roman"/>
    </font>
    <font>
      <b/>
      <sz val="16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0" tint="-0.249977111117893"/>
        <bgColor indexed="65"/>
      </patternFill>
    </fill>
  </fills>
  <borders count="35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3" fontId="5" fillId="2" borderId="0"/>
    <xf numFmtId="5" fontId="5" fillId="2" borderId="0"/>
    <xf numFmtId="0" fontId="5" fillId="2" borderId="0"/>
    <xf numFmtId="2" fontId="5" fillId="2" borderId="0"/>
    <xf numFmtId="0" fontId="1" fillId="2" borderId="0"/>
    <xf numFmtId="0" fontId="2" fillId="2" borderId="0"/>
    <xf numFmtId="0" fontId="5" fillId="2" borderId="1"/>
  </cellStyleXfs>
  <cellXfs count="73">
    <xf numFmtId="0" fontId="0" fillId="2" borderId="0" xfId="0" applyFill="1"/>
    <xf numFmtId="0" fontId="4" fillId="0" borderId="0" xfId="0" applyFont="1"/>
    <xf numFmtId="2" fontId="6" fillId="0" borderId="9" xfId="0" applyNumberFormat="1" applyFont="1" applyBorder="1" applyAlignment="1">
      <alignment horizontal="center"/>
    </xf>
    <xf numFmtId="0" fontId="6" fillId="3" borderId="9" xfId="0" applyFont="1" applyFill="1" applyBorder="1" applyAlignment="1">
      <alignment horizontal="center"/>
    </xf>
    <xf numFmtId="2" fontId="6" fillId="0" borderId="11" xfId="0" applyNumberFormat="1" applyFont="1" applyBorder="1" applyAlignment="1">
      <alignment horizontal="center"/>
    </xf>
    <xf numFmtId="165" fontId="6" fillId="0" borderId="2" xfId="0" applyNumberFormat="1" applyFont="1" applyBorder="1" applyAlignment="1">
      <alignment horizontal="right"/>
    </xf>
    <xf numFmtId="164" fontId="6" fillId="0" borderId="20" xfId="0" applyNumberFormat="1" applyFont="1" applyBorder="1" applyAlignment="1">
      <alignment horizontal="center"/>
    </xf>
    <xf numFmtId="2" fontId="6" fillId="0" borderId="24" xfId="0" applyNumberFormat="1" applyFont="1" applyBorder="1" applyAlignment="1">
      <alignment horizontal="center"/>
    </xf>
    <xf numFmtId="164" fontId="6" fillId="0" borderId="25" xfId="0" applyNumberFormat="1" applyFont="1" applyBorder="1" applyAlignment="1">
      <alignment horizontal="center"/>
    </xf>
    <xf numFmtId="165" fontId="6" fillId="0" borderId="17" xfId="0" applyNumberFormat="1" applyFont="1" applyBorder="1" applyAlignment="1">
      <alignment horizontal="right"/>
    </xf>
    <xf numFmtId="0" fontId="4" fillId="0" borderId="15" xfId="0" applyFont="1" applyBorder="1"/>
    <xf numFmtId="0" fontId="4" fillId="0" borderId="16" xfId="0" applyFont="1" applyBorder="1"/>
    <xf numFmtId="0" fontId="4" fillId="0" borderId="0" xfId="0" applyFont="1" applyAlignment="1">
      <alignment horizontal="right"/>
    </xf>
    <xf numFmtId="49" fontId="6" fillId="0" borderId="0" xfId="0" applyNumberFormat="1" applyFont="1" applyAlignment="1">
      <alignment horizontal="center"/>
    </xf>
    <xf numFmtId="14" fontId="6" fillId="0" borderId="0" xfId="0" applyNumberFormat="1" applyFont="1" applyAlignment="1">
      <alignment horizontal="center"/>
    </xf>
    <xf numFmtId="14" fontId="6" fillId="0" borderId="16" xfId="0" applyNumberFormat="1" applyFont="1" applyBorder="1" applyAlignment="1">
      <alignment horizontal="center"/>
    </xf>
    <xf numFmtId="14" fontId="4" fillId="0" borderId="0" xfId="0" applyNumberFormat="1" applyFont="1"/>
    <xf numFmtId="0" fontId="4" fillId="0" borderId="18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19" xfId="0" applyFont="1" applyBorder="1"/>
    <xf numFmtId="0" fontId="3" fillId="0" borderId="10" xfId="0" applyFont="1" applyBorder="1" applyAlignment="1">
      <alignment horizontal="center"/>
    </xf>
    <xf numFmtId="0" fontId="4" fillId="0" borderId="6" xfId="0" applyFont="1" applyBorder="1"/>
    <xf numFmtId="0" fontId="4" fillId="0" borderId="7" xfId="0" applyFont="1" applyBorder="1"/>
    <xf numFmtId="0" fontId="4" fillId="0" borderId="2" xfId="0" applyFont="1" applyBorder="1"/>
    <xf numFmtId="0" fontId="4" fillId="0" borderId="8" xfId="0" applyFont="1" applyBorder="1"/>
    <xf numFmtId="0" fontId="4" fillId="0" borderId="17" xfId="0" applyFont="1" applyBorder="1"/>
    <xf numFmtId="0" fontId="4" fillId="0" borderId="20" xfId="0" applyFont="1" applyBorder="1"/>
    <xf numFmtId="0" fontId="4" fillId="0" borderId="12" xfId="0" applyFont="1" applyBorder="1" applyAlignment="1">
      <alignment horizontal="center" wrapText="1"/>
    </xf>
    <xf numFmtId="0" fontId="4" fillId="0" borderId="21" xfId="0" applyFont="1" applyBorder="1" applyAlignment="1">
      <alignment horizontal="center" wrapText="1"/>
    </xf>
    <xf numFmtId="0" fontId="4" fillId="0" borderId="22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2" fontId="6" fillId="3" borderId="9" xfId="0" applyNumberFormat="1" applyFont="1" applyFill="1" applyBorder="1" applyAlignment="1">
      <alignment horizontal="center"/>
    </xf>
    <xf numFmtId="0" fontId="6" fillId="3" borderId="24" xfId="0" applyFont="1" applyFill="1" applyBorder="1" applyAlignment="1">
      <alignment horizontal="center"/>
    </xf>
    <xf numFmtId="0" fontId="6" fillId="3" borderId="20" xfId="0" applyFont="1" applyFill="1" applyBorder="1" applyAlignment="1">
      <alignment horizontal="center"/>
    </xf>
    <xf numFmtId="2" fontId="6" fillId="3" borderId="11" xfId="0" applyNumberFormat="1" applyFont="1" applyFill="1" applyBorder="1" applyAlignment="1">
      <alignment horizontal="center"/>
    </xf>
    <xf numFmtId="0" fontId="6" fillId="3" borderId="11" xfId="0" applyFont="1" applyFill="1" applyBorder="1" applyAlignment="1">
      <alignment horizontal="center"/>
    </xf>
    <xf numFmtId="0" fontId="6" fillId="3" borderId="26" xfId="0" applyFont="1" applyFill="1" applyBorder="1" applyAlignment="1">
      <alignment horizontal="center"/>
    </xf>
    <xf numFmtId="4" fontId="6" fillId="0" borderId="13" xfId="0" applyNumberFormat="1" applyFont="1" applyBorder="1"/>
    <xf numFmtId="4" fontId="6" fillId="0" borderId="27" xfId="0" applyNumberFormat="1" applyFont="1" applyBorder="1"/>
    <xf numFmtId="0" fontId="4" fillId="0" borderId="28" xfId="0" applyFont="1" applyBorder="1"/>
    <xf numFmtId="0" fontId="4" fillId="0" borderId="2" xfId="0" applyFont="1" applyBorder="1" applyAlignment="1">
      <alignment horizontal="right"/>
    </xf>
    <xf numFmtId="4" fontId="4" fillId="0" borderId="2" xfId="0" applyNumberFormat="1" applyFont="1" applyBorder="1"/>
    <xf numFmtId="4" fontId="4" fillId="0" borderId="17" xfId="0" applyNumberFormat="1" applyFont="1" applyBorder="1"/>
    <xf numFmtId="0" fontId="4" fillId="0" borderId="18" xfId="0" applyFont="1" applyBorder="1" applyAlignment="1">
      <alignment horizontal="centerContinuous"/>
    </xf>
    <xf numFmtId="0" fontId="4" fillId="0" borderId="4" xfId="0" applyFont="1" applyBorder="1" applyAlignment="1">
      <alignment horizontal="centerContinuous"/>
    </xf>
    <xf numFmtId="0" fontId="4" fillId="0" borderId="19" xfId="0" applyFont="1" applyBorder="1" applyAlignment="1">
      <alignment horizontal="centerContinuous"/>
    </xf>
    <xf numFmtId="0" fontId="4" fillId="0" borderId="28" xfId="0" applyFont="1" applyBorder="1" applyAlignment="1">
      <alignment horizontal="centerContinuous"/>
    </xf>
    <xf numFmtId="0" fontId="4" fillId="0" borderId="2" xfId="0" applyFont="1" applyBorder="1" applyAlignment="1">
      <alignment horizontal="centerContinuous"/>
    </xf>
    <xf numFmtId="0" fontId="4" fillId="0" borderId="17" xfId="0" applyFont="1" applyBorder="1" applyAlignment="1">
      <alignment horizontal="centerContinuous"/>
    </xf>
    <xf numFmtId="4" fontId="4" fillId="0" borderId="0" xfId="0" applyNumberFormat="1" applyFont="1"/>
    <xf numFmtId="0" fontId="6" fillId="0" borderId="0" xfId="0" applyFont="1"/>
    <xf numFmtId="4" fontId="4" fillId="0" borderId="16" xfId="0" applyNumberFormat="1" applyFont="1" applyBorder="1"/>
    <xf numFmtId="2" fontId="4" fillId="0" borderId="0" xfId="0" applyNumberFormat="1" applyFont="1"/>
    <xf numFmtId="0" fontId="4" fillId="0" borderId="15" xfId="0" applyFont="1" applyBorder="1" applyAlignment="1">
      <alignment horizontal="centerContinuous"/>
    </xf>
    <xf numFmtId="0" fontId="4" fillId="0" borderId="0" xfId="0" applyFont="1" applyAlignment="1">
      <alignment horizontal="centerContinuous"/>
    </xf>
    <xf numFmtId="0" fontId="4" fillId="0" borderId="0" xfId="0" applyFont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30" xfId="0" applyFont="1" applyBorder="1"/>
    <xf numFmtId="0" fontId="4" fillId="0" borderId="31" xfId="0" applyFont="1" applyBorder="1"/>
    <xf numFmtId="0" fontId="6" fillId="0" borderId="2" xfId="0" applyFont="1" applyBorder="1" applyAlignment="1">
      <alignment horizontal="center"/>
    </xf>
    <xf numFmtId="0" fontId="7" fillId="0" borderId="29" xfId="0" applyFont="1" applyBorder="1"/>
    <xf numFmtId="0" fontId="6" fillId="0" borderId="28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49" fontId="6" fillId="0" borderId="13" xfId="0" applyNumberFormat="1" applyFont="1" applyBorder="1" applyAlignment="1">
      <alignment horizontal="center"/>
    </xf>
    <xf numFmtId="0" fontId="8" fillId="0" borderId="32" xfId="0" applyFont="1" applyBorder="1" applyAlignment="1">
      <alignment horizontal="left"/>
    </xf>
    <xf numFmtId="0" fontId="8" fillId="0" borderId="33" xfId="0" applyFont="1" applyBorder="1" applyAlignment="1">
      <alignment horizontal="left"/>
    </xf>
    <xf numFmtId="0" fontId="8" fillId="0" borderId="34" xfId="0" applyFont="1" applyBorder="1" applyAlignment="1">
      <alignment horizontal="left"/>
    </xf>
    <xf numFmtId="49" fontId="6" fillId="0" borderId="2" xfId="0" applyNumberFormat="1" applyFont="1" applyBorder="1" applyAlignment="1">
      <alignment horizontal="center"/>
    </xf>
    <xf numFmtId="14" fontId="6" fillId="0" borderId="2" xfId="0" applyNumberFormat="1" applyFont="1" applyBorder="1" applyAlignment="1">
      <alignment horizontal="center"/>
    </xf>
    <xf numFmtId="14" fontId="6" fillId="0" borderId="17" xfId="0" applyNumberFormat="1" applyFont="1" applyBorder="1" applyAlignment="1">
      <alignment horizontal="center"/>
    </xf>
  </cellXfs>
  <cellStyles count="8">
    <cellStyle name="Comma0" xfId="1" xr:uid="{00000000-0005-0000-0000-000000000000}"/>
    <cellStyle name="Currency0" xfId="2" xr:uid="{00000000-0005-0000-0000-000001000000}"/>
    <cellStyle name="Date" xfId="3" xr:uid="{00000000-0005-0000-0000-000002000000}"/>
    <cellStyle name="Fixed" xfId="4" xr:uid="{00000000-0005-0000-0000-000003000000}"/>
    <cellStyle name="Heading 1" xfId="5" xr:uid="{00000000-0005-0000-0000-000004000000}"/>
    <cellStyle name="Heading 2" xfId="6" xr:uid="{00000000-0005-0000-0000-000005000000}"/>
    <cellStyle name="Normal" xfId="0" builtinId="0"/>
    <cellStyle name="Total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4</xdr:row>
      <xdr:rowOff>38100</xdr:rowOff>
    </xdr:from>
    <xdr:ext cx="6134100" cy="235834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Grp="1"/>
        </xdr:cNvSpPr>
      </xdr:nvSpPr>
      <xdr:spPr>
        <a:xfrm>
          <a:off x="19050" y="600075"/>
          <a:ext cx="6134100" cy="235834"/>
        </a:xfrm>
        <a:prstGeom prst="rect">
          <a:avLst/>
        </a:prstGeom>
        <a:solidFill>
          <a:schemeClr val="lt1"/>
        </a:solidFill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lIns="0" tIns="0" rIns="0" bIns="0" anchor="t">
          <a:spAutoFit/>
        </a:bodyPr>
        <a:lstStyle/>
        <a:p>
          <a:r>
            <a:rPr sz="800" i="1">
              <a:solidFill>
                <a:srgbClr val="FF0000"/>
              </a:solidFill>
              <a:latin typeface="Arial"/>
              <a:ea typeface="Arial"/>
              <a:cs typeface="Arial"/>
            </a:rPr>
            <a:t>Note for spreadsheet: Fill in unshaded boxes for station and end area (no need to type '+' for station ~ typing 10050 will show 100+50).  Stationing should increase down the page to keep the spreadsheet from calculating negative values. (1+00, 2+00 and so forth)</a:t>
          </a:r>
          <a:endParaRPr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4</xdr:row>
      <xdr:rowOff>38100</xdr:rowOff>
    </xdr:from>
    <xdr:ext cx="6134100" cy="235834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Grp="1"/>
        </xdr:cNvSpPr>
      </xdr:nvSpPr>
      <xdr:spPr>
        <a:xfrm>
          <a:off x="19050" y="800100"/>
          <a:ext cx="6134100" cy="235834"/>
        </a:xfrm>
        <a:prstGeom prst="rect">
          <a:avLst/>
        </a:prstGeom>
        <a:solidFill>
          <a:schemeClr val="lt1"/>
        </a:solidFill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lIns="0" tIns="0" rIns="0" bIns="0" anchor="t">
          <a:spAutoFit/>
        </a:bodyPr>
        <a:lstStyle/>
        <a:p>
          <a:r>
            <a:rPr sz="800" i="1">
              <a:solidFill>
                <a:srgbClr val="FF0000"/>
              </a:solidFill>
              <a:latin typeface="Arial"/>
              <a:ea typeface="Arial"/>
              <a:cs typeface="Arial"/>
            </a:rPr>
            <a:t>Note for spreadsheet: Fill in unshaded boxes for station and end area (no need to type '+' for station ~ typing 10050 will show 100+50).  Stationing should increase down the page to keep the spreadsheet from calculating negative values. (1+00, 2+00 and so forth)</a:t>
          </a:r>
          <a:endParaRPr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4</xdr:row>
      <xdr:rowOff>38100</xdr:rowOff>
    </xdr:from>
    <xdr:ext cx="6134100" cy="235834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Grp="1"/>
        </xdr:cNvSpPr>
      </xdr:nvSpPr>
      <xdr:spPr>
        <a:xfrm>
          <a:off x="19050" y="800100"/>
          <a:ext cx="6134100" cy="235834"/>
        </a:xfrm>
        <a:prstGeom prst="rect">
          <a:avLst/>
        </a:prstGeom>
        <a:solidFill>
          <a:schemeClr val="lt1"/>
        </a:solidFill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lIns="0" tIns="0" rIns="0" bIns="0" anchor="t">
          <a:spAutoFit/>
        </a:bodyPr>
        <a:lstStyle/>
        <a:p>
          <a:r>
            <a:rPr sz="800" i="1">
              <a:solidFill>
                <a:srgbClr val="FF0000"/>
              </a:solidFill>
              <a:latin typeface="Arial"/>
              <a:ea typeface="Arial"/>
              <a:cs typeface="Arial"/>
            </a:rPr>
            <a:t>Note for spreadsheet: Fill in unshaded boxes for station and end area (no need to type '+' for station ~ typing 10050 will show 100+50).  Stationing should increase down the page to keep the spreadsheet from calculating negative values. (1+00, 2+00 and so forth)</a:t>
          </a:r>
          <a:endParaRPr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4"/>
  <sheetViews>
    <sheetView tabSelected="1" workbookViewId="0">
      <selection activeCell="M14" sqref="M14"/>
    </sheetView>
  </sheetViews>
  <sheetFormatPr defaultRowHeight="12.75" x14ac:dyDescent="0.2"/>
  <cols>
    <col min="1" max="1" width="12.7109375" style="1" customWidth="1"/>
    <col min="2" max="2" width="10.7109375" style="1" customWidth="1"/>
    <col min="3" max="5" width="10" style="1" customWidth="1"/>
    <col min="6" max="6" width="12.28515625" style="1" customWidth="1"/>
    <col min="7" max="9" width="10" style="1" customWidth="1"/>
    <col min="10" max="16384" width="9.140625" style="1"/>
  </cols>
  <sheetData>
    <row r="1" spans="1:9" ht="21" x14ac:dyDescent="0.35">
      <c r="A1" s="67" t="s">
        <v>0</v>
      </c>
      <c r="B1" s="68"/>
      <c r="C1" s="67" t="s">
        <v>1</v>
      </c>
      <c r="D1" s="69"/>
      <c r="E1" s="69"/>
      <c r="F1" s="69"/>
      <c r="G1" s="69"/>
      <c r="H1" s="69"/>
      <c r="I1" s="68"/>
    </row>
    <row r="2" spans="1:9" x14ac:dyDescent="0.2">
      <c r="A2" s="10"/>
      <c r="I2" s="11"/>
    </row>
    <row r="3" spans="1:9" x14ac:dyDescent="0.2">
      <c r="A3" s="10" t="s">
        <v>2</v>
      </c>
      <c r="B3" s="70" t="s">
        <v>25</v>
      </c>
      <c r="C3" s="70"/>
      <c r="D3" s="12" t="s">
        <v>3</v>
      </c>
      <c r="E3" s="70"/>
      <c r="F3" s="70"/>
      <c r="G3" s="12" t="s">
        <v>4</v>
      </c>
      <c r="H3" s="71">
        <v>45756</v>
      </c>
      <c r="I3" s="72"/>
    </row>
    <row r="4" spans="1:9" x14ac:dyDescent="0.2">
      <c r="A4" s="10" t="s">
        <v>5</v>
      </c>
      <c r="B4" s="66"/>
      <c r="C4" s="66"/>
      <c r="D4" s="12"/>
      <c r="E4" s="13"/>
      <c r="F4" s="13"/>
      <c r="G4" s="12"/>
      <c r="H4" s="14"/>
      <c r="I4" s="15"/>
    </row>
    <row r="5" spans="1:9" x14ac:dyDescent="0.2">
      <c r="A5" s="10"/>
      <c r="H5" s="16"/>
      <c r="I5" s="11"/>
    </row>
    <row r="6" spans="1:9" x14ac:dyDescent="0.2">
      <c r="A6" s="10"/>
      <c r="I6" s="11"/>
    </row>
    <row r="7" spans="1:9" ht="5.0999999999999996" customHeight="1" x14ac:dyDescent="0.2">
      <c r="A7" s="17"/>
      <c r="B7" s="18"/>
      <c r="C7" s="19"/>
      <c r="D7" s="19"/>
      <c r="E7" s="20"/>
      <c r="F7" s="18"/>
      <c r="G7" s="19"/>
      <c r="H7" s="19"/>
      <c r="I7" s="21"/>
    </row>
    <row r="8" spans="1:9" x14ac:dyDescent="0.2">
      <c r="A8" s="10"/>
      <c r="B8" s="22" t="s">
        <v>6</v>
      </c>
      <c r="C8" s="12" t="s">
        <v>7</v>
      </c>
      <c r="D8" s="62"/>
      <c r="E8" s="23"/>
      <c r="F8" s="22" t="s">
        <v>8</v>
      </c>
      <c r="G8" s="12" t="s">
        <v>7</v>
      </c>
      <c r="H8" s="62"/>
      <c r="I8" s="11"/>
    </row>
    <row r="9" spans="1:9" ht="5.0999999999999996" customHeight="1" x14ac:dyDescent="0.2">
      <c r="A9" s="10"/>
      <c r="B9" s="24"/>
      <c r="C9" s="25"/>
      <c r="D9" s="25"/>
      <c r="E9" s="26"/>
      <c r="F9" s="24"/>
      <c r="G9" s="25"/>
      <c r="H9" s="25"/>
      <c r="I9" s="27"/>
    </row>
    <row r="10" spans="1:9" ht="38.25" x14ac:dyDescent="0.2">
      <c r="A10" s="28"/>
      <c r="B10" s="29" t="s">
        <v>9</v>
      </c>
      <c r="C10" s="29" t="s">
        <v>10</v>
      </c>
      <c r="D10" s="29" t="s">
        <v>11</v>
      </c>
      <c r="E10" s="29" t="s">
        <v>12</v>
      </c>
      <c r="F10" s="29" t="s">
        <v>9</v>
      </c>
      <c r="G10" s="29" t="s">
        <v>10</v>
      </c>
      <c r="H10" s="29" t="s">
        <v>11</v>
      </c>
      <c r="I10" s="30" t="s">
        <v>12</v>
      </c>
    </row>
    <row r="11" spans="1:9" x14ac:dyDescent="0.2">
      <c r="A11" s="31" t="s">
        <v>13</v>
      </c>
      <c r="B11" s="32" t="s">
        <v>14</v>
      </c>
      <c r="C11" s="32" t="s">
        <v>14</v>
      </c>
      <c r="D11" s="32" t="s">
        <v>15</v>
      </c>
      <c r="E11" s="32" t="s">
        <v>16</v>
      </c>
      <c r="F11" s="32" t="s">
        <v>14</v>
      </c>
      <c r="G11" s="32" t="s">
        <v>14</v>
      </c>
      <c r="H11" s="32" t="s">
        <v>15</v>
      </c>
      <c r="I11" s="33" t="s">
        <v>16</v>
      </c>
    </row>
    <row r="12" spans="1:9" ht="15" customHeight="1" x14ac:dyDescent="0.2">
      <c r="A12" s="6">
        <v>0</v>
      </c>
      <c r="B12" s="2">
        <v>2.76</v>
      </c>
      <c r="C12" s="34"/>
      <c r="D12" s="34"/>
      <c r="E12" s="34"/>
      <c r="F12" s="2">
        <v>0.15</v>
      </c>
      <c r="G12" s="3"/>
      <c r="H12" s="3"/>
      <c r="I12" s="35"/>
    </row>
    <row r="13" spans="1:9" ht="15" customHeight="1" x14ac:dyDescent="0.2">
      <c r="A13" s="36"/>
      <c r="B13" s="3"/>
      <c r="C13" s="2">
        <f>IF(B12="","",IF(B14=""," ",IF(B12:B14&gt;=0,(B12+B14)/2)))</f>
        <v>4.67</v>
      </c>
      <c r="D13" s="2">
        <f>IF(B12="","",IF(B14="","",IF(B12:B14&gt;=0,(A14-A12))))</f>
        <v>50</v>
      </c>
      <c r="E13" s="2">
        <f>IF(B12="","",IF(B14="","",IF(B12:B14&gt;=0,(C13*D13)/27," ")))</f>
        <v>8.6481481481481488</v>
      </c>
      <c r="F13" s="3"/>
      <c r="G13" s="2">
        <f>IF(F12="","",IF(F14="","",IF(F12:F14&gt;=0,(F12+F14)/2)))</f>
        <v>1.395</v>
      </c>
      <c r="H13" s="2">
        <f>IF(F12="","",IF(F14="","",IF(F12:F14&gt;=0,(A14-A12))))</f>
        <v>50</v>
      </c>
      <c r="I13" s="7">
        <f>IF(F12="","",IF(F14="","",IF(F12:F14&gt;=0,(G13*H13)/27)))</f>
        <v>2.5833333333333335</v>
      </c>
    </row>
    <row r="14" spans="1:9" ht="15" customHeight="1" x14ac:dyDescent="0.2">
      <c r="A14" s="6">
        <f>A12+50</f>
        <v>50</v>
      </c>
      <c r="B14" s="2">
        <f>(2.33+1.6+2.15)+0.5</f>
        <v>6.58</v>
      </c>
      <c r="C14" s="34"/>
      <c r="D14" s="34"/>
      <c r="E14" s="34"/>
      <c r="F14" s="2">
        <f>(0.94+0.81+0.39)+0.5</f>
        <v>2.64</v>
      </c>
      <c r="G14" s="3"/>
      <c r="H14" s="3"/>
      <c r="I14" s="35"/>
    </row>
    <row r="15" spans="1:9" ht="15" customHeight="1" x14ac:dyDescent="0.2">
      <c r="A15" s="36"/>
      <c r="B15" s="3"/>
      <c r="C15" s="2">
        <f>IF(B14="","",IF(B16=""," ",IF(B14:B16&gt;=0,(B14+B16)/2)))</f>
        <v>7.4</v>
      </c>
      <c r="D15" s="2">
        <f>IF(B14="","",IF(B16="","",IF(B14:B16&gt;=0,(A16-A14))))</f>
        <v>50</v>
      </c>
      <c r="E15" s="2">
        <f>IF(B14="","",IF(B16="","",IF(B14:B16&gt;=0,(C15*D15)/27," ")))</f>
        <v>13.703703703703704</v>
      </c>
      <c r="F15" s="3"/>
      <c r="G15" s="2">
        <f>IF(F14="","",IF(F16="","",IF(F14:F16&gt;=0,(F14+F16)/2)))</f>
        <v>2.42</v>
      </c>
      <c r="H15" s="2">
        <f>IF(F14="","",IF(F16="","",IF(F14:F16&gt;=0,(A16-A14))))</f>
        <v>50</v>
      </c>
      <c r="I15" s="7">
        <f>IF(F14="","",IF(F16="","",IF(F14:F16&gt;=0,(G15*H15)/27)))</f>
        <v>4.4814814814814818</v>
      </c>
    </row>
    <row r="16" spans="1:9" ht="15" customHeight="1" x14ac:dyDescent="0.2">
      <c r="A16" s="6">
        <f>A14+50</f>
        <v>100</v>
      </c>
      <c r="B16" s="2">
        <f>(1.24+1.84+1.54+3.1)+0.5</f>
        <v>8.2200000000000006</v>
      </c>
      <c r="C16" s="34"/>
      <c r="D16" s="34"/>
      <c r="E16" s="34"/>
      <c r="F16" s="2">
        <f>(0.3+0.66+0.99+0.75)-0.5</f>
        <v>2.2000000000000002</v>
      </c>
      <c r="G16" s="3"/>
      <c r="H16" s="3"/>
      <c r="I16" s="35"/>
    </row>
    <row r="17" spans="1:9" ht="15" customHeight="1" x14ac:dyDescent="0.2">
      <c r="A17" s="36"/>
      <c r="B17" s="3"/>
      <c r="C17" s="2">
        <f>IF(B16="","",IF(B18=""," ",IF(B16:B18&gt;=0,(B16+B18)/2)))</f>
        <v>7.07</v>
      </c>
      <c r="D17" s="2">
        <f>IF(B16="","",IF(B18="","",IF(B16:B18&gt;=0,(A18-A16))))</f>
        <v>50</v>
      </c>
      <c r="E17" s="2">
        <f>IF(B16="","",IF(B18="","",IF(B16:B18&gt;=0,(C17*D17)/27," ")))</f>
        <v>13.092592592592593</v>
      </c>
      <c r="F17" s="3"/>
      <c r="G17" s="2">
        <f>IF(F16="","",IF(F18="","",IF(F16:F18&gt;=0,(F16+F18)/2)))</f>
        <v>3.0449999999999999</v>
      </c>
      <c r="H17" s="2">
        <f>IF(F16="","",IF(F18="","",IF(F16:F18&gt;=0,(A18-A16))))</f>
        <v>50</v>
      </c>
      <c r="I17" s="7">
        <f>IF(F16="","",IF(F18="","",IF(F16:F18&gt;=0,(G17*H17)/27)))</f>
        <v>5.6388888888888893</v>
      </c>
    </row>
    <row r="18" spans="1:9" ht="15" customHeight="1" x14ac:dyDescent="0.2">
      <c r="A18" s="6">
        <f>A16+50</f>
        <v>150</v>
      </c>
      <c r="B18" s="2">
        <f>(0.71+2+1.52+1.19)+0.5</f>
        <v>5.92</v>
      </c>
      <c r="C18" s="34"/>
      <c r="D18" s="34"/>
      <c r="E18" s="34"/>
      <c r="F18" s="2">
        <f>(1.1+0.96+0.58+0.75)+0.5</f>
        <v>3.89</v>
      </c>
      <c r="G18" s="3"/>
      <c r="H18" s="3"/>
      <c r="I18" s="35"/>
    </row>
    <row r="19" spans="1:9" ht="15" customHeight="1" x14ac:dyDescent="0.2">
      <c r="A19" s="36"/>
      <c r="B19" s="3"/>
      <c r="C19" s="2">
        <f>IF(B18="","",IF(B20=""," ",IF(B18:B20&gt;=0,(B18+B20)/2)))</f>
        <v>6.08</v>
      </c>
      <c r="D19" s="2">
        <f>IF(B18="","",IF(B20="","",IF(B18:B20&gt;=0,(A20-A18))))</f>
        <v>50</v>
      </c>
      <c r="E19" s="2">
        <f>IF(B18="","",IF(B20="","",IF(B18:B20&gt;=0,(C19*D19)/27," ")))</f>
        <v>11.25925925925926</v>
      </c>
      <c r="F19" s="3"/>
      <c r="G19" s="2">
        <f>IF(F18="","",IF(F20="","",IF(F18:F20&gt;=0,(F18+F20)/2)))</f>
        <v>3.6399999999999997</v>
      </c>
      <c r="H19" s="2">
        <f>IF(F18="","",IF(F20="","",IF(F18:F20&gt;=0,(A20-A18))))</f>
        <v>50</v>
      </c>
      <c r="I19" s="7">
        <f>IF(F18="","",IF(F20="","",IF(F18:F20&gt;=0,(G19*H19)/27)))</f>
        <v>6.7407407407407396</v>
      </c>
    </row>
    <row r="20" spans="1:9" ht="15" customHeight="1" x14ac:dyDescent="0.2">
      <c r="A20" s="6">
        <f>A18+50</f>
        <v>200</v>
      </c>
      <c r="B20" s="2">
        <f>(0.62+1.93+1.05+3.14)-0.5</f>
        <v>6.24</v>
      </c>
      <c r="C20" s="34"/>
      <c r="D20" s="34"/>
      <c r="E20" s="34"/>
      <c r="F20" s="2">
        <f>(1+0.59+1.16+1.14)-0.5</f>
        <v>3.3899999999999997</v>
      </c>
      <c r="G20" s="3"/>
      <c r="H20" s="3"/>
      <c r="I20" s="35"/>
    </row>
    <row r="21" spans="1:9" ht="15" customHeight="1" x14ac:dyDescent="0.2">
      <c r="A21" s="36"/>
      <c r="B21" s="3"/>
      <c r="C21" s="2">
        <f>IF(B20="","",IF(B22=""," ",IF(B20:B22&gt;=0,(B20+B22)/2)))</f>
        <v>7.2850000000000001</v>
      </c>
      <c r="D21" s="2">
        <f>IF(B20="","",IF(B22="","",IF(B20:B22&gt;=0,(A22-A20))))</f>
        <v>50</v>
      </c>
      <c r="E21" s="2">
        <f>IF(B20="","",IF(B22="","",IF(B20:B22&gt;=0,(C21*D21)/27," ")))</f>
        <v>13.49074074074074</v>
      </c>
      <c r="F21" s="3"/>
      <c r="G21" s="2">
        <f>IF(F20="","",IF(F22="","",IF(F20:F22&gt;=0,(F20+F22)/2)))</f>
        <v>4.3949999999999996</v>
      </c>
      <c r="H21" s="2">
        <f>IF(F20="","",IF(F22="","",IF(F20:F22&gt;=0,(A22-A20))))</f>
        <v>50</v>
      </c>
      <c r="I21" s="7">
        <f>IF(F20="","",IF(F22="","",IF(F20:F22&gt;=0,(G21*H21)/27)))</f>
        <v>8.1388888888888875</v>
      </c>
    </row>
    <row r="22" spans="1:9" ht="15" customHeight="1" x14ac:dyDescent="0.2">
      <c r="A22" s="6">
        <f>A20+50</f>
        <v>250</v>
      </c>
      <c r="B22" s="2">
        <f>(2.17+1.46+4.2)+0.5</f>
        <v>8.33</v>
      </c>
      <c r="C22" s="34"/>
      <c r="D22" s="34"/>
      <c r="E22" s="34"/>
      <c r="F22" s="2">
        <f>(0.71+0.65+0.54+3)+0.5</f>
        <v>5.4</v>
      </c>
      <c r="G22" s="3"/>
      <c r="H22" s="3"/>
      <c r="I22" s="35"/>
    </row>
    <row r="23" spans="1:9" ht="15" customHeight="1" x14ac:dyDescent="0.2">
      <c r="A23" s="36"/>
      <c r="B23" s="3"/>
      <c r="C23" s="2">
        <f>IF(B22="","",IF(B24=""," ",IF(B22:B24&gt;=0,(B22+B24)/2)))</f>
        <v>6.2249999999999996</v>
      </c>
      <c r="D23" s="2">
        <f>IF(B22="","",IF(B24="","",IF(B22:B24&gt;=0,(A24-A22))))</f>
        <v>50</v>
      </c>
      <c r="E23" s="2">
        <f>IF(B22="","",IF(B24="","",IF(B22:B24&gt;=0,(C23*D23)/27," ")))</f>
        <v>11.527777777777779</v>
      </c>
      <c r="F23" s="3"/>
      <c r="G23" s="2">
        <f>IF(F22="","",IF(F24="","",IF(F22:F24&gt;=0,(F22+F24)/2)))</f>
        <v>27.23</v>
      </c>
      <c r="H23" s="2">
        <f>IF(F22="","",IF(F24="","",IF(F22:F24&gt;=0,(A24-A22))))</f>
        <v>50</v>
      </c>
      <c r="I23" s="7">
        <f>IF(F22="","",IF(F24="","",IF(F22:F24&gt;=0,(G23*H23)/27)))</f>
        <v>50.425925925925924</v>
      </c>
    </row>
    <row r="24" spans="1:9" ht="15" customHeight="1" x14ac:dyDescent="0.2">
      <c r="A24" s="6">
        <f>A22+50</f>
        <v>300</v>
      </c>
      <c r="B24" s="2">
        <f>(3.62)+0.5</f>
        <v>4.12</v>
      </c>
      <c r="C24" s="34"/>
      <c r="D24" s="34"/>
      <c r="E24" s="34"/>
      <c r="F24" s="2">
        <f>(6.92+40.92+0.72)+0.5</f>
        <v>49.06</v>
      </c>
      <c r="G24" s="3"/>
      <c r="H24" s="3"/>
      <c r="I24" s="35"/>
    </row>
    <row r="25" spans="1:9" ht="15" customHeight="1" x14ac:dyDescent="0.2">
      <c r="A25" s="36"/>
      <c r="B25" s="3"/>
      <c r="C25" s="2">
        <f>IF(B24="","",IF(B26=""," ",IF(B24:B26&gt;=0,(B24+B26)/2)))</f>
        <v>5.2350000000000003</v>
      </c>
      <c r="D25" s="2">
        <f>IF(B24="","",IF(B26="","",IF(B24:B26&gt;=0,(A26-A24))))</f>
        <v>50</v>
      </c>
      <c r="E25" s="2">
        <f>IF(B24="","",IF(B26="","",IF(B24:B26&gt;=0,(C25*D25)/27," ")))</f>
        <v>9.6944444444444446</v>
      </c>
      <c r="F25" s="3"/>
      <c r="G25" s="2">
        <f>IF(F24="","",IF(F26="","",IF(F24:F26&gt;=0,(F24+F26)/2)))</f>
        <v>31.990000000000002</v>
      </c>
      <c r="H25" s="2">
        <f>IF(F24="","",IF(F26="","",IF(F24:F26&gt;=0,(A26-A24))))</f>
        <v>50</v>
      </c>
      <c r="I25" s="7">
        <f>IF(F24="","",IF(F26="","",IF(F24:F26&gt;=0,(G25*H25)/27)))</f>
        <v>59.24074074074074</v>
      </c>
    </row>
    <row r="26" spans="1:9" ht="15" customHeight="1" x14ac:dyDescent="0.2">
      <c r="A26" s="6">
        <f>A24+50</f>
        <v>350</v>
      </c>
      <c r="B26" s="2">
        <f>(4.24+1.61)+0.5</f>
        <v>6.3500000000000005</v>
      </c>
      <c r="C26" s="34"/>
      <c r="D26" s="34"/>
      <c r="E26" s="34"/>
      <c r="F26" s="2">
        <f>(5.52+0.53+8.96+0.41)-0.5</f>
        <v>14.920000000000002</v>
      </c>
      <c r="G26" s="3"/>
      <c r="H26" s="3"/>
      <c r="I26" s="35"/>
    </row>
    <row r="27" spans="1:9" ht="15" customHeight="1" x14ac:dyDescent="0.2">
      <c r="A27" s="36"/>
      <c r="B27" s="3"/>
      <c r="C27" s="2">
        <f>IF(B26="","",IF(B28=""," ",IF(B26:B28&gt;=0,(B26+B28)/2)))</f>
        <v>4.6850000000000005</v>
      </c>
      <c r="D27" s="2">
        <f>IF(B26="","",IF(B28="","",IF(B26:B28&gt;=0,(A28-A26))))</f>
        <v>50</v>
      </c>
      <c r="E27" s="2">
        <f>IF(B26="","",IF(B28="","",IF(B26:B28&gt;=0,(C27*D27)/27," ")))</f>
        <v>8.6759259259259274</v>
      </c>
      <c r="F27" s="3"/>
      <c r="G27" s="2">
        <f>IF(F26="","",IF(F28="","",IF(F26:F28&gt;=0,(F26+F28)/2)))</f>
        <v>15.175000000000001</v>
      </c>
      <c r="H27" s="2">
        <f>IF(F26="","",IF(F28="","",IF(F26:F28&gt;=0,(A28-A26))))</f>
        <v>50</v>
      </c>
      <c r="I27" s="7">
        <f>IF(F26="","",IF(F28="","",IF(F26:F28&gt;=0,(G27*H27)/27)))</f>
        <v>28.101851851851851</v>
      </c>
    </row>
    <row r="28" spans="1:9" ht="15" customHeight="1" x14ac:dyDescent="0.2">
      <c r="A28" s="6">
        <f>A26+50</f>
        <v>400</v>
      </c>
      <c r="B28" s="2">
        <f>(0.6+1.92)+0.5</f>
        <v>3.02</v>
      </c>
      <c r="C28" s="34"/>
      <c r="D28" s="34"/>
      <c r="E28" s="34"/>
      <c r="F28" s="2">
        <f>(3.95+0.59+9.12+1.27)+0.5</f>
        <v>15.43</v>
      </c>
      <c r="G28" s="3"/>
      <c r="H28" s="3"/>
      <c r="I28" s="35"/>
    </row>
    <row r="29" spans="1:9" ht="15" customHeight="1" x14ac:dyDescent="0.2">
      <c r="A29" s="36"/>
      <c r="B29" s="3"/>
      <c r="C29" s="2">
        <f>IF(B28="","",IF(B30=""," ",IF(B28:B30&gt;=0,(B28+B30)/2)))</f>
        <v>3.085</v>
      </c>
      <c r="D29" s="2">
        <f>IF(B28="","",IF(B30="","",IF(B28:B30&gt;=0,(A30-A28))))</f>
        <v>50</v>
      </c>
      <c r="E29" s="2">
        <f>IF(B28="","",IF(B30="","",IF(B28:B30&gt;=0,(C29*D29)/27," ")))</f>
        <v>5.7129629629629628</v>
      </c>
      <c r="F29" s="3"/>
      <c r="G29" s="2">
        <f>IF(F28="","",IF(F30="","",IF(F28:F30&gt;=0,(F28+F30)/2)))</f>
        <v>15.2</v>
      </c>
      <c r="H29" s="2">
        <f>IF(F28="","",IF(F30="","",IF(F28:F30&gt;=0,(A30-A28))))</f>
        <v>50</v>
      </c>
      <c r="I29" s="7">
        <f>IF(F28="","",IF(F30="","",IF(F28:F30&gt;=0,(G29*H29)/27)))</f>
        <v>28.148148148148149</v>
      </c>
    </row>
    <row r="30" spans="1:9" ht="15" customHeight="1" x14ac:dyDescent="0.2">
      <c r="A30" s="6">
        <f>A28+50</f>
        <v>450</v>
      </c>
      <c r="B30" s="2">
        <f>(0.82+1.83)+0.5</f>
        <v>3.15</v>
      </c>
      <c r="C30" s="34"/>
      <c r="D30" s="34"/>
      <c r="E30" s="34"/>
      <c r="F30" s="2">
        <f>(3.44+0.59+10.01+1.43)-0.5</f>
        <v>14.969999999999999</v>
      </c>
      <c r="G30" s="3"/>
      <c r="H30" s="3"/>
      <c r="I30" s="35"/>
    </row>
    <row r="31" spans="1:9" ht="15" customHeight="1" x14ac:dyDescent="0.2">
      <c r="A31" s="36"/>
      <c r="B31" s="3"/>
      <c r="C31" s="2">
        <f>IF(B30="","",IF(B32=""," ",IF(B30:B32&gt;=0,(B30+B32)/2)))</f>
        <v>4.0750000000000002</v>
      </c>
      <c r="D31" s="2">
        <f>IF(B30="","",IF(B32="","",IF(B30:B32&gt;=0,(A32-A30))))</f>
        <v>50</v>
      </c>
      <c r="E31" s="2">
        <f>IF(B30="","",IF(B32="","",IF(B30:B32&gt;=0,(C31*D31)/27," ")))</f>
        <v>7.5462962962962967</v>
      </c>
      <c r="F31" s="3"/>
      <c r="G31" s="2">
        <f>IF(F30="","",IF(F32="","",IF(F30:F32&gt;=0,(F30+F32)/2)))</f>
        <v>15.18</v>
      </c>
      <c r="H31" s="2">
        <f>IF(F30="","",IF(F32="","",IF(F30:F32&gt;=0,(A32-A30))))</f>
        <v>50</v>
      </c>
      <c r="I31" s="7">
        <f>IF(F30="","",IF(F32="","",IF(F30:F32&gt;=0,(G31*H31)/27)))</f>
        <v>28.111111111111111</v>
      </c>
    </row>
    <row r="32" spans="1:9" ht="15" customHeight="1" x14ac:dyDescent="0.2">
      <c r="A32" s="6">
        <f>A30+50</f>
        <v>500</v>
      </c>
      <c r="B32" s="2">
        <f>(1.35+4.15)-0.5</f>
        <v>5</v>
      </c>
      <c r="C32" s="34"/>
      <c r="D32" s="34"/>
      <c r="E32" s="34"/>
      <c r="F32" s="2">
        <f>(5.92+0.12+7.65+1.2)+0.5</f>
        <v>15.39</v>
      </c>
      <c r="G32" s="3"/>
      <c r="H32" s="3"/>
      <c r="I32" s="35"/>
    </row>
    <row r="33" spans="1:9" ht="15" customHeight="1" x14ac:dyDescent="0.2">
      <c r="A33" s="36"/>
      <c r="B33" s="3"/>
      <c r="C33" s="2">
        <f>IF(B32="","",IF(B34=""," ",IF(B32:B34&gt;=0,(B32+B34)/2)))</f>
        <v>6.9550000000000001</v>
      </c>
      <c r="D33" s="2">
        <f>IF(B32="","",IF(B34="","",IF(B32:B34&gt;=0,(A34-A32))))</f>
        <v>50</v>
      </c>
      <c r="E33" s="2">
        <f>IF(B32="","",IF(B34="","",IF(B32:B34&gt;=0,(C33*D33)/27," ")))</f>
        <v>12.87962962962963</v>
      </c>
      <c r="F33" s="3"/>
      <c r="G33" s="2">
        <f>IF(F32="","",IF(F34="","",IF(F32:F34&gt;=0,(F32+F34)/2)))</f>
        <v>14.984999999999999</v>
      </c>
      <c r="H33" s="2">
        <f>IF(F32="","",IF(F34="","",IF(F32:F34&gt;=0,(A34-A32))))</f>
        <v>50</v>
      </c>
      <c r="I33" s="7">
        <f>IF(F32="","",IF(F34="","",IF(F32:F34&gt;=0,(G33*H33)/27)))</f>
        <v>27.75</v>
      </c>
    </row>
    <row r="34" spans="1:9" ht="15" customHeight="1" x14ac:dyDescent="0.2">
      <c r="A34" s="6">
        <f>A32+50</f>
        <v>550</v>
      </c>
      <c r="B34" s="2">
        <f>(2.63+5.78)+0.5</f>
        <v>8.91</v>
      </c>
      <c r="C34" s="34"/>
      <c r="D34" s="34"/>
      <c r="E34" s="34"/>
      <c r="F34" s="2">
        <f>(6.16+7.15+0.77)+0.5</f>
        <v>14.58</v>
      </c>
      <c r="G34" s="3"/>
      <c r="H34" s="3"/>
      <c r="I34" s="35"/>
    </row>
    <row r="35" spans="1:9" ht="15" customHeight="1" x14ac:dyDescent="0.2">
      <c r="A35" s="36"/>
      <c r="B35" s="3"/>
      <c r="C35" s="2">
        <f>IF(B34="","",IF(B36=""," ",IF(B34:B36&gt;=0,(B34+B36)/2)))</f>
        <v>7.3100000000000005</v>
      </c>
      <c r="D35" s="2">
        <f>IF(B34="","",IF(B36="","",IF(B34:B36&gt;=0,(A36-A34))))</f>
        <v>50</v>
      </c>
      <c r="E35" s="2">
        <f>IF(B34="","",IF(B36="","",IF(B34:B36&gt;=0,(C35*D35)/27," ")))</f>
        <v>13.537037037037036</v>
      </c>
      <c r="F35" s="3"/>
      <c r="G35" s="2">
        <f>IF(F34="","",IF(F36="","",IF(F34:F36&gt;=0,(F34+F36)/2)))</f>
        <v>13.86</v>
      </c>
      <c r="H35" s="2">
        <f>IF(F34="","",IF(F36="","",IF(F34:F36&gt;=0,(A36-A34))))</f>
        <v>50</v>
      </c>
      <c r="I35" s="7">
        <f>IF(F34="","",IF(F36="","",IF(F34:F36&gt;=0,(G35*H35)/27)))</f>
        <v>25.666666666666668</v>
      </c>
    </row>
    <row r="36" spans="1:9" ht="15" customHeight="1" x14ac:dyDescent="0.2">
      <c r="A36" s="6">
        <f>A34+50</f>
        <v>600</v>
      </c>
      <c r="B36" s="2">
        <f>(3.38+2.83)-0.5</f>
        <v>5.71</v>
      </c>
      <c r="C36" s="34"/>
      <c r="D36" s="34"/>
      <c r="E36" s="34"/>
      <c r="F36" s="2">
        <f>(4.78+0.35+6.94+0.57)+0.5</f>
        <v>13.14</v>
      </c>
      <c r="G36" s="3"/>
      <c r="H36" s="3"/>
      <c r="I36" s="35"/>
    </row>
    <row r="37" spans="1:9" ht="15" customHeight="1" x14ac:dyDescent="0.2">
      <c r="A37" s="36"/>
      <c r="B37" s="3"/>
      <c r="C37" s="2">
        <f>IF(B36="","",IF(B38=""," ",IF(B36:B38&gt;=0,(B36+B38)/2)))</f>
        <v>5.2750000000000004</v>
      </c>
      <c r="D37" s="2">
        <f>IF(B36="","",IF(B38="","",IF(B36:B38&gt;=0,(A38-A36))))</f>
        <v>50</v>
      </c>
      <c r="E37" s="2">
        <f>IF(B36="","",IF(B38="","",IF(B36:B38&gt;=0,(C37*D37)/27," ")))</f>
        <v>9.768518518518519</v>
      </c>
      <c r="F37" s="3"/>
      <c r="G37" s="2">
        <f>IF(F36="","",IF(F38="","",IF(F36:F38&gt;=0,(F36+F38)/2)))</f>
        <v>13.07</v>
      </c>
      <c r="H37" s="2">
        <f>IF(F36="","",IF(F38="","",IF(F36:F38&gt;=0,(A38-A36))))</f>
        <v>50</v>
      </c>
      <c r="I37" s="7">
        <f>IF(F36="","",IF(F38="","",IF(F36:F38&gt;=0,(G37*H37)/27)))</f>
        <v>24.203703703703702</v>
      </c>
    </row>
    <row r="38" spans="1:9" ht="15" customHeight="1" x14ac:dyDescent="0.2">
      <c r="A38" s="6">
        <f>A36+50</f>
        <v>650</v>
      </c>
      <c r="B38" s="2">
        <f>(3.56+0.78)+0.5</f>
        <v>4.84</v>
      </c>
      <c r="C38" s="34"/>
      <c r="D38" s="34"/>
      <c r="E38" s="34"/>
      <c r="F38" s="2">
        <f>(4.4+1.29+7.02+0.79)-0.5</f>
        <v>13</v>
      </c>
      <c r="G38" s="3"/>
      <c r="H38" s="3"/>
      <c r="I38" s="35"/>
    </row>
    <row r="39" spans="1:9" ht="15" customHeight="1" x14ac:dyDescent="0.2">
      <c r="A39" s="36"/>
      <c r="B39" s="3"/>
      <c r="C39" s="2">
        <f>IF(B38="","",IF(B40=""," ",IF(B38:B40&gt;=0,(B38+B40)/2)))</f>
        <v>4.3</v>
      </c>
      <c r="D39" s="2">
        <f>IF(B38="","",IF(B40="","",IF(B38:B40&gt;=0,(A40-A38))))</f>
        <v>50</v>
      </c>
      <c r="E39" s="2">
        <f>IF(B38="","",IF(B40="","",IF(B38:B40&gt;=0,(C39*D39)/27," ")))</f>
        <v>7.9629629629629628</v>
      </c>
      <c r="F39" s="3"/>
      <c r="G39" s="2">
        <f>IF(F38="","",IF(F40="","",IF(F38:F40&gt;=0,(F38+F40)/2)))</f>
        <v>12.225</v>
      </c>
      <c r="H39" s="2">
        <f>IF(F38="","",IF(F40="","",IF(F38:F40&gt;=0,(A40-A38))))</f>
        <v>50</v>
      </c>
      <c r="I39" s="7">
        <f>IF(F38="","",IF(F40="","",IF(F38:F40&gt;=0,(G39*H39)/27)))</f>
        <v>22.638888888888889</v>
      </c>
    </row>
    <row r="40" spans="1:9" ht="15" customHeight="1" x14ac:dyDescent="0.2">
      <c r="A40" s="6">
        <f>A38+50</f>
        <v>700</v>
      </c>
      <c r="B40" s="2">
        <f>(3.35+0.91)-0.5</f>
        <v>3.76</v>
      </c>
      <c r="C40" s="34"/>
      <c r="D40" s="34"/>
      <c r="E40" s="34"/>
      <c r="F40" s="2">
        <f>(4.35+1.51+5.42+0.67)-0.5</f>
        <v>11.45</v>
      </c>
      <c r="G40" s="3"/>
      <c r="H40" s="3"/>
      <c r="I40" s="35"/>
    </row>
    <row r="41" spans="1:9" ht="15" customHeight="1" x14ac:dyDescent="0.2">
      <c r="A41" s="36"/>
      <c r="B41" s="3"/>
      <c r="C41" s="2">
        <f>IF(B40="","",IF(B42=""," ",IF(B40:B42&gt;=0,(B40+B42)/2)))</f>
        <v>3.02</v>
      </c>
      <c r="D41" s="2">
        <f>IF(B40="","",IF(B42="","",IF(B40:B42&gt;=0,(A42-A40))))</f>
        <v>50</v>
      </c>
      <c r="E41" s="2">
        <f>IF(B40="","",IF(B42="","",IF(B40:B42&gt;=0,(C41*D41)/27," ")))</f>
        <v>5.5925925925925926</v>
      </c>
      <c r="F41" s="3"/>
      <c r="G41" s="2">
        <f>IF(F40="","",IF(F42="","",IF(F40:F42&gt;=0,(F40+F42)/2)))</f>
        <v>13.329999999999998</v>
      </c>
      <c r="H41" s="2">
        <f>IF(F40="","",IF(F42="","",IF(F40:F42&gt;=0,(A42-A40))))</f>
        <v>50</v>
      </c>
      <c r="I41" s="7">
        <f>IF(F40="","",IF(F42="","",IF(F40:F42&gt;=0,(G41*H41)/27)))</f>
        <v>24.68518518518518</v>
      </c>
    </row>
    <row r="42" spans="1:9" ht="15" customHeight="1" x14ac:dyDescent="0.2">
      <c r="A42" s="8">
        <f>A40+50</f>
        <v>750</v>
      </c>
      <c r="B42" s="4">
        <f>(2.56+0.22)-0.5</f>
        <v>2.2800000000000002</v>
      </c>
      <c r="C42" s="37"/>
      <c r="D42" s="37"/>
      <c r="E42" s="37"/>
      <c r="F42" s="4">
        <f>(4.76+2.47+7.06+0.42)+0.5</f>
        <v>15.209999999999999</v>
      </c>
      <c r="G42" s="38"/>
      <c r="H42" s="38"/>
      <c r="I42" s="39"/>
    </row>
    <row r="43" spans="1:9" ht="15" customHeight="1" x14ac:dyDescent="0.2">
      <c r="A43" s="10"/>
      <c r="D43" s="12" t="s">
        <v>17</v>
      </c>
      <c r="E43" s="40">
        <f>IF(A14&gt;=0,SUM(E13:E42)," ")</f>
        <v>153.09259259259255</v>
      </c>
      <c r="H43" s="12" t="s">
        <v>18</v>
      </c>
      <c r="I43" s="41">
        <f>IF(F14&gt;=0,SUM(I13:I42)," ")</f>
        <v>346.55555555555554</v>
      </c>
    </row>
    <row r="44" spans="1:9" ht="5.0999999999999996" customHeight="1" x14ac:dyDescent="0.2">
      <c r="A44" s="42"/>
      <c r="B44" s="25"/>
      <c r="C44" s="25"/>
      <c r="D44" s="43"/>
      <c r="E44" s="44"/>
      <c r="F44" s="25"/>
      <c r="G44" s="25"/>
      <c r="H44" s="43"/>
      <c r="I44" s="45"/>
    </row>
    <row r="45" spans="1:9" x14ac:dyDescent="0.2">
      <c r="A45" s="46" t="s">
        <v>19</v>
      </c>
      <c r="B45" s="47"/>
      <c r="C45" s="47"/>
      <c r="D45" s="47"/>
      <c r="E45" s="47"/>
      <c r="F45" s="47"/>
      <c r="G45" s="47"/>
      <c r="H45" s="47"/>
      <c r="I45" s="48"/>
    </row>
    <row r="46" spans="1:9" x14ac:dyDescent="0.2">
      <c r="A46" s="49" t="s">
        <v>20</v>
      </c>
      <c r="B46" s="50"/>
      <c r="C46" s="50"/>
      <c r="D46" s="50"/>
      <c r="E46" s="50"/>
      <c r="F46" s="50"/>
      <c r="G46" s="50"/>
      <c r="H46" s="50"/>
      <c r="I46" s="51"/>
    </row>
    <row r="47" spans="1:9" x14ac:dyDescent="0.2">
      <c r="A47" s="10"/>
      <c r="E47" s="52"/>
      <c r="G47" s="53"/>
      <c r="I47" s="54"/>
    </row>
    <row r="48" spans="1:9" x14ac:dyDescent="0.2">
      <c r="A48" s="10"/>
      <c r="D48" s="12"/>
      <c r="E48" s="52"/>
      <c r="H48" s="12"/>
      <c r="I48" s="54"/>
    </row>
    <row r="49" spans="1:9" x14ac:dyDescent="0.2">
      <c r="A49" s="64" t="s">
        <v>21</v>
      </c>
      <c r="B49" s="65"/>
      <c r="C49" s="65"/>
      <c r="D49" s="5">
        <v>45756</v>
      </c>
      <c r="E49" s="55"/>
      <c r="F49" s="65"/>
      <c r="G49" s="65"/>
      <c r="H49" s="65"/>
      <c r="I49" s="9"/>
    </row>
    <row r="50" spans="1:9" x14ac:dyDescent="0.2">
      <c r="A50" s="56" t="s">
        <v>22</v>
      </c>
      <c r="B50" s="57"/>
      <c r="C50" s="57"/>
      <c r="D50" s="58" t="s">
        <v>4</v>
      </c>
      <c r="F50" s="57" t="s">
        <v>23</v>
      </c>
      <c r="G50" s="57"/>
      <c r="H50" s="57"/>
      <c r="I50" s="59" t="s">
        <v>4</v>
      </c>
    </row>
    <row r="51" spans="1:9" x14ac:dyDescent="0.2">
      <c r="A51" s="10"/>
      <c r="I51" s="11"/>
    </row>
    <row r="52" spans="1:9" x14ac:dyDescent="0.2">
      <c r="A52" s="10"/>
      <c r="I52" s="11"/>
    </row>
    <row r="53" spans="1:9" x14ac:dyDescent="0.2">
      <c r="A53" s="63" t="s">
        <v>24</v>
      </c>
      <c r="B53" s="60"/>
      <c r="C53" s="60"/>
      <c r="D53" s="60"/>
      <c r="E53" s="60"/>
      <c r="F53" s="60"/>
      <c r="G53" s="60"/>
      <c r="H53" s="60"/>
      <c r="I53" s="61"/>
    </row>
    <row r="54" spans="1:9" x14ac:dyDescent="0.2">
      <c r="A54" s="10"/>
    </row>
  </sheetData>
  <mergeCells count="8">
    <mergeCell ref="A49:C49"/>
    <mergeCell ref="F49:H49"/>
    <mergeCell ref="B4:C4"/>
    <mergeCell ref="A1:B1"/>
    <mergeCell ref="C1:I1"/>
    <mergeCell ref="B3:C3"/>
    <mergeCell ref="E3:F3"/>
    <mergeCell ref="H3:I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4"/>
  <sheetViews>
    <sheetView topLeftCell="A19" workbookViewId="0">
      <selection activeCell="M20" sqref="M20"/>
    </sheetView>
  </sheetViews>
  <sheetFormatPr defaultRowHeight="12.75" x14ac:dyDescent="0.2"/>
  <cols>
    <col min="1" max="1" width="12.7109375" style="1" customWidth="1"/>
    <col min="2" max="2" width="10.7109375" style="1" customWidth="1"/>
    <col min="3" max="5" width="10" style="1" customWidth="1"/>
    <col min="6" max="6" width="12.28515625" style="1" customWidth="1"/>
    <col min="7" max="9" width="10" style="1" customWidth="1"/>
    <col min="10" max="16384" width="9.140625" style="1"/>
  </cols>
  <sheetData>
    <row r="1" spans="1:9" ht="21" x14ac:dyDescent="0.35">
      <c r="A1" s="67" t="s">
        <v>0</v>
      </c>
      <c r="B1" s="68"/>
      <c r="C1" s="67" t="s">
        <v>1</v>
      </c>
      <c r="D1" s="69"/>
      <c r="E1" s="69"/>
      <c r="F1" s="69"/>
      <c r="G1" s="69"/>
      <c r="H1" s="69"/>
      <c r="I1" s="68"/>
    </row>
    <row r="2" spans="1:9" x14ac:dyDescent="0.2">
      <c r="A2" s="10"/>
      <c r="I2" s="11"/>
    </row>
    <row r="3" spans="1:9" x14ac:dyDescent="0.2">
      <c r="A3" s="10" t="s">
        <v>2</v>
      </c>
      <c r="B3" s="70" t="s">
        <v>25</v>
      </c>
      <c r="C3" s="70"/>
      <c r="D3" s="12" t="s">
        <v>3</v>
      </c>
      <c r="E3" s="70"/>
      <c r="F3" s="70"/>
      <c r="G3" s="12" t="s">
        <v>4</v>
      </c>
      <c r="H3" s="71">
        <v>45756</v>
      </c>
      <c r="I3" s="72"/>
    </row>
    <row r="4" spans="1:9" x14ac:dyDescent="0.2">
      <c r="A4" s="10" t="s">
        <v>5</v>
      </c>
      <c r="B4" s="66"/>
      <c r="C4" s="66"/>
      <c r="D4" s="12"/>
      <c r="E4" s="13"/>
      <c r="F4" s="13"/>
      <c r="G4" s="12"/>
      <c r="H4" s="14"/>
      <c r="I4" s="15"/>
    </row>
    <row r="5" spans="1:9" x14ac:dyDescent="0.2">
      <c r="A5" s="10"/>
      <c r="H5" s="16"/>
      <c r="I5" s="11"/>
    </row>
    <row r="6" spans="1:9" x14ac:dyDescent="0.2">
      <c r="A6" s="10"/>
      <c r="I6" s="11"/>
    </row>
    <row r="7" spans="1:9" ht="5.0999999999999996" customHeight="1" x14ac:dyDescent="0.2">
      <c r="A7" s="17"/>
      <c r="B7" s="18"/>
      <c r="C7" s="19"/>
      <c r="D7" s="19"/>
      <c r="E7" s="20"/>
      <c r="F7" s="18"/>
      <c r="G7" s="19"/>
      <c r="H7" s="19"/>
      <c r="I7" s="21"/>
    </row>
    <row r="8" spans="1:9" x14ac:dyDescent="0.2">
      <c r="A8" s="10"/>
      <c r="B8" s="22" t="s">
        <v>6</v>
      </c>
      <c r="C8" s="12" t="s">
        <v>7</v>
      </c>
      <c r="D8" s="62"/>
      <c r="E8" s="23"/>
      <c r="F8" s="22" t="s">
        <v>8</v>
      </c>
      <c r="G8" s="12" t="s">
        <v>7</v>
      </c>
      <c r="H8" s="62"/>
      <c r="I8" s="11"/>
    </row>
    <row r="9" spans="1:9" ht="5.0999999999999996" customHeight="1" x14ac:dyDescent="0.2">
      <c r="A9" s="10"/>
      <c r="B9" s="24"/>
      <c r="C9" s="25"/>
      <c r="D9" s="25"/>
      <c r="E9" s="26"/>
      <c r="F9" s="24"/>
      <c r="G9" s="25"/>
      <c r="H9" s="25"/>
      <c r="I9" s="27"/>
    </row>
    <row r="10" spans="1:9" ht="38.25" x14ac:dyDescent="0.2">
      <c r="A10" s="28"/>
      <c r="B10" s="29" t="s">
        <v>9</v>
      </c>
      <c r="C10" s="29" t="s">
        <v>10</v>
      </c>
      <c r="D10" s="29" t="s">
        <v>11</v>
      </c>
      <c r="E10" s="29" t="s">
        <v>12</v>
      </c>
      <c r="F10" s="29" t="s">
        <v>9</v>
      </c>
      <c r="G10" s="29" t="s">
        <v>10</v>
      </c>
      <c r="H10" s="29" t="s">
        <v>11</v>
      </c>
      <c r="I10" s="30" t="s">
        <v>12</v>
      </c>
    </row>
    <row r="11" spans="1:9" x14ac:dyDescent="0.2">
      <c r="A11" s="31" t="s">
        <v>13</v>
      </c>
      <c r="B11" s="32" t="s">
        <v>14</v>
      </c>
      <c r="C11" s="32" t="s">
        <v>14</v>
      </c>
      <c r="D11" s="32" t="s">
        <v>15</v>
      </c>
      <c r="E11" s="32" t="s">
        <v>16</v>
      </c>
      <c r="F11" s="32" t="s">
        <v>14</v>
      </c>
      <c r="G11" s="32" t="s">
        <v>14</v>
      </c>
      <c r="H11" s="32" t="s">
        <v>15</v>
      </c>
      <c r="I11" s="33" t="s">
        <v>16</v>
      </c>
    </row>
    <row r="12" spans="1:9" ht="15" customHeight="1" x14ac:dyDescent="0.2">
      <c r="A12" s="6">
        <v>750</v>
      </c>
      <c r="B12" s="2">
        <f>'CA-EW-1'!B42</f>
        <v>2.2800000000000002</v>
      </c>
      <c r="C12" s="34"/>
      <c r="D12" s="34"/>
      <c r="E12" s="34"/>
      <c r="F12" s="2">
        <f>'CA-EW-1'!F42</f>
        <v>15.209999999999999</v>
      </c>
      <c r="G12" s="3"/>
      <c r="H12" s="3"/>
      <c r="I12" s="35"/>
    </row>
    <row r="13" spans="1:9" ht="15" customHeight="1" x14ac:dyDescent="0.2">
      <c r="A13" s="36"/>
      <c r="B13" s="3"/>
      <c r="C13" s="2">
        <f>IF(B12="","",IF(B14=""," ",IF(B12:B14&gt;=0,(B12+B14)/2)))</f>
        <v>1.9750000000000001</v>
      </c>
      <c r="D13" s="2">
        <f>IF(B12="","",IF(B14="","",IF(B12:B14&gt;=0,(A14-A12))))</f>
        <v>50</v>
      </c>
      <c r="E13" s="2">
        <f>IF(B12="","",IF(B14="","",IF(B12:B14&gt;=0,(C13*D13)/27," ")))</f>
        <v>3.6574074074074074</v>
      </c>
      <c r="F13" s="3"/>
      <c r="G13" s="2">
        <f>IF(F12="","",IF(F14="","",IF(F12:F14&gt;=0,(F12+F14)/2)))</f>
        <v>13.764999999999999</v>
      </c>
      <c r="H13" s="2">
        <f>IF(F12="","",IF(F14="","",IF(F12:F14&gt;=0,(A14-A12))))</f>
        <v>50</v>
      </c>
      <c r="I13" s="7">
        <f>IF(F12="","",IF(F14="","",IF(F12:F14&gt;=0,(G13*H13)/27)))</f>
        <v>25.490740740740737</v>
      </c>
    </row>
    <row r="14" spans="1:9" ht="15" customHeight="1" x14ac:dyDescent="0.2">
      <c r="A14" s="6">
        <f>A12+50</f>
        <v>800</v>
      </c>
      <c r="B14" s="2">
        <f>(2.01+0.16)-0.5</f>
        <v>1.67</v>
      </c>
      <c r="C14" s="34"/>
      <c r="D14" s="34"/>
      <c r="E14" s="34"/>
      <c r="F14" s="2">
        <f>(3.79+2.65+5.53+0.85)-0.5</f>
        <v>12.319999999999999</v>
      </c>
      <c r="G14" s="3"/>
      <c r="H14" s="3"/>
      <c r="I14" s="35"/>
    </row>
    <row r="15" spans="1:9" ht="15" customHeight="1" x14ac:dyDescent="0.2">
      <c r="A15" s="36"/>
      <c r="B15" s="3"/>
      <c r="C15" s="2">
        <f>IF(B14="","",IF(B16=""," ",IF(B14:B16&gt;=0,(B14+B16)/2)))</f>
        <v>2.0249999999999999</v>
      </c>
      <c r="D15" s="2">
        <f>IF(B14="","",IF(B16="","",IF(B14:B16&gt;=0,(A16-A14))))</f>
        <v>50</v>
      </c>
      <c r="E15" s="2">
        <f>IF(B14="","",IF(B16="","",IF(B14:B16&gt;=0,(C15*D15)/27," ")))</f>
        <v>3.75</v>
      </c>
      <c r="F15" s="3"/>
      <c r="G15" s="2">
        <f>IF(F14="","",IF(F16="","",IF(F14:F16&gt;=0,(F14+F16)/2)))</f>
        <v>13.774999999999999</v>
      </c>
      <c r="H15" s="2">
        <f>IF(F14="","",IF(F16="","",IF(F14:F16&gt;=0,(A16-A14))))</f>
        <v>50</v>
      </c>
      <c r="I15" s="7">
        <f>IF(F14="","",IF(F16="","",IF(F14:F16&gt;=0,(G15*H15)/27)))</f>
        <v>25.509259259259256</v>
      </c>
    </row>
    <row r="16" spans="1:9" ht="15" customHeight="1" x14ac:dyDescent="0.2">
      <c r="A16" s="6">
        <f>A14+50</f>
        <v>850</v>
      </c>
      <c r="B16" s="2">
        <f>(2.88)-0.5</f>
        <v>2.38</v>
      </c>
      <c r="C16" s="34"/>
      <c r="D16" s="34"/>
      <c r="E16" s="34"/>
      <c r="F16" s="2">
        <f>(4.17+3.59+7.25+0.72)-0.5</f>
        <v>15.23</v>
      </c>
      <c r="G16" s="3"/>
      <c r="H16" s="3"/>
      <c r="I16" s="35"/>
    </row>
    <row r="17" spans="1:9" ht="15" customHeight="1" x14ac:dyDescent="0.2">
      <c r="A17" s="36"/>
      <c r="B17" s="3"/>
      <c r="C17" s="2">
        <f>IF(B16="","",IF(B18=""," ",IF(B16:B18&gt;=0,(B16+B18)/2)))</f>
        <v>2.62</v>
      </c>
      <c r="D17" s="2">
        <f>IF(B16="","",IF(B18="","",IF(B16:B18&gt;=0,(A18-A16))))</f>
        <v>50</v>
      </c>
      <c r="E17" s="2">
        <f>IF(B16="","",IF(B18="","",IF(B16:B18&gt;=0,(C17*D17)/27," ")))</f>
        <v>4.8518518518518521</v>
      </c>
      <c r="F17" s="3"/>
      <c r="G17" s="2">
        <f>IF(F16="","",IF(F18="","",IF(F16:F18&gt;=0,(F16+F18)/2)))</f>
        <v>15.83</v>
      </c>
      <c r="H17" s="2">
        <f>IF(F16="","",IF(F18="","",IF(F16:F18&gt;=0,(A18-A16))))</f>
        <v>50</v>
      </c>
      <c r="I17" s="7">
        <f>IF(F16="","",IF(F18="","",IF(F16:F18&gt;=0,(G17*H17)/27)))</f>
        <v>29.314814814814813</v>
      </c>
    </row>
    <row r="18" spans="1:9" ht="15" customHeight="1" x14ac:dyDescent="0.2">
      <c r="A18" s="6">
        <f>A16+50</f>
        <v>900</v>
      </c>
      <c r="B18" s="2">
        <f>(3.36)-0.5</f>
        <v>2.86</v>
      </c>
      <c r="C18" s="34"/>
      <c r="D18" s="34"/>
      <c r="E18" s="34"/>
      <c r="F18" s="2">
        <f>(3.45+5.54+6.47+0.47)+0.5</f>
        <v>16.43</v>
      </c>
      <c r="G18" s="3"/>
      <c r="H18" s="3"/>
      <c r="I18" s="35"/>
    </row>
    <row r="19" spans="1:9" ht="15" customHeight="1" x14ac:dyDescent="0.2">
      <c r="A19" s="36"/>
      <c r="B19" s="3"/>
      <c r="C19" s="2">
        <f>IF(B18="","",IF(B20=""," ",IF(B18:B20&gt;=0,(B18+B20)/2)))</f>
        <v>4.0049999999999999</v>
      </c>
      <c r="D19" s="2">
        <f>IF(B18="","",IF(B20="","",IF(B18:B20&gt;=0,(A20-A18))))</f>
        <v>50</v>
      </c>
      <c r="E19" s="2">
        <f>IF(B18="","",IF(B20="","",IF(B18:B20&gt;=0,(C19*D19)/27," ")))</f>
        <v>7.416666666666667</v>
      </c>
      <c r="F19" s="3"/>
      <c r="G19" s="2">
        <f>IF(F18="","",IF(F20="","",IF(F18:F20&gt;=0,(F18+F20)/2)))</f>
        <v>14.714</v>
      </c>
      <c r="H19" s="2">
        <f>IF(F18="","",IF(F20="","",IF(F18:F20&gt;=0,(A20-A18))))</f>
        <v>50</v>
      </c>
      <c r="I19" s="7">
        <f>IF(F18="","",IF(F20="","",IF(F18:F20&gt;=0,(G19*H19)/27)))</f>
        <v>27.24814814814815</v>
      </c>
    </row>
    <row r="20" spans="1:9" ht="15" customHeight="1" x14ac:dyDescent="0.2">
      <c r="A20" s="6">
        <f>A18+50</f>
        <v>950</v>
      </c>
      <c r="B20" s="2">
        <f>(3.8+0.07+0.78)+0.5</f>
        <v>5.1499999999999995</v>
      </c>
      <c r="C20" s="34"/>
      <c r="D20" s="34"/>
      <c r="E20" s="34"/>
      <c r="F20" s="2">
        <f>(1.688+6.58+3.76+0.47)+0.5</f>
        <v>12.998000000000001</v>
      </c>
      <c r="G20" s="3"/>
      <c r="H20" s="3"/>
      <c r="I20" s="35"/>
    </row>
    <row r="21" spans="1:9" ht="15" customHeight="1" x14ac:dyDescent="0.2">
      <c r="A21" s="36"/>
      <c r="B21" s="3"/>
      <c r="C21" s="2">
        <f>IF(B20="","",IF(B22=""," ",IF(B20:B22&gt;=0,(B20+B22)/2)))</f>
        <v>8.0350000000000001</v>
      </c>
      <c r="D21" s="2">
        <f>IF(B20="","",IF(B22="","",IF(B20:B22&gt;=0,(A22-A20))))</f>
        <v>50</v>
      </c>
      <c r="E21" s="2">
        <f>IF(B20="","",IF(B22="","",IF(B20:B22&gt;=0,(C21*D21)/27," ")))</f>
        <v>14.87962962962963</v>
      </c>
      <c r="F21" s="3"/>
      <c r="G21" s="2">
        <f>IF(F20="","",IF(F22="","",IF(F20:F22&gt;=0,(F20+F22)/2)))</f>
        <v>11.834</v>
      </c>
      <c r="H21" s="2">
        <f>IF(F20="","",IF(F22="","",IF(F20:F22&gt;=0,(A22-A20))))</f>
        <v>50</v>
      </c>
      <c r="I21" s="7">
        <f>IF(F20="","",IF(F22="","",IF(F20:F22&gt;=0,(G21*H21)/27)))</f>
        <v>21.914814814814811</v>
      </c>
    </row>
    <row r="22" spans="1:9" ht="15" customHeight="1" x14ac:dyDescent="0.2">
      <c r="A22" s="6">
        <f>A20+50</f>
        <v>1000</v>
      </c>
      <c r="B22" s="2">
        <f>(6.15+0.68+3.59)+0.5</f>
        <v>10.92</v>
      </c>
      <c r="C22" s="34"/>
      <c r="D22" s="34"/>
      <c r="E22" s="34"/>
      <c r="F22" s="2">
        <f>(1.68+6.9+2.35+0.24)-0.5</f>
        <v>10.67</v>
      </c>
      <c r="G22" s="3"/>
      <c r="H22" s="3"/>
      <c r="I22" s="35"/>
    </row>
    <row r="23" spans="1:9" ht="15" customHeight="1" x14ac:dyDescent="0.2">
      <c r="A23" s="36"/>
      <c r="B23" s="3"/>
      <c r="C23" s="2">
        <f>IF(B22="","",IF(B24=""," ",IF(B22:B24&gt;=0,(B22+B24)/2)))</f>
        <v>7.63</v>
      </c>
      <c r="D23" s="2">
        <f>IF(B22="","",IF(B24="","",IF(B22:B24&gt;=0,(A24-A22))))</f>
        <v>50</v>
      </c>
      <c r="E23" s="2">
        <f>IF(B22="","",IF(B24="","",IF(B22:B24&gt;=0,(C23*D23)/27," ")))</f>
        <v>14.12962962962963</v>
      </c>
      <c r="F23" s="3"/>
      <c r="G23" s="2">
        <f>IF(F22="","",IF(F24="","",IF(F22:F24&gt;=0,(F22+F24)/2)))</f>
        <v>7.82</v>
      </c>
      <c r="H23" s="2">
        <f>IF(F22="","",IF(F24="","",IF(F22:F24&gt;=0,(A24-A22))))</f>
        <v>50</v>
      </c>
      <c r="I23" s="7">
        <f>IF(F22="","",IF(F24="","",IF(F22:F24&gt;=0,(G23*H23)/27)))</f>
        <v>14.481481481481481</v>
      </c>
    </row>
    <row r="24" spans="1:9" ht="15" customHeight="1" x14ac:dyDescent="0.2">
      <c r="A24" s="6">
        <f>A22+50</f>
        <v>1050</v>
      </c>
      <c r="B24" s="2">
        <f>(3.84)+0.5</f>
        <v>4.34</v>
      </c>
      <c r="C24" s="34"/>
      <c r="D24" s="34"/>
      <c r="E24" s="34"/>
      <c r="F24" s="2">
        <f>(1.16+3.31)+0.5</f>
        <v>4.97</v>
      </c>
      <c r="G24" s="3"/>
      <c r="H24" s="3"/>
      <c r="I24" s="35"/>
    </row>
    <row r="25" spans="1:9" ht="15" customHeight="1" x14ac:dyDescent="0.2">
      <c r="A25" s="36"/>
      <c r="B25" s="3"/>
      <c r="C25" s="2">
        <f>IF(B24="","",IF(B26=""," ",IF(B24:B26&gt;=0,(B24+B26)/2)))</f>
        <v>3.54</v>
      </c>
      <c r="D25" s="2">
        <f>IF(B24="","",IF(B26="","",IF(B24:B26&gt;=0,(A26-A24))))</f>
        <v>50</v>
      </c>
      <c r="E25" s="2">
        <f>IF(B24="","",IF(B26="","",IF(B24:B26&gt;=0,(C25*D25)/27," ")))</f>
        <v>6.5555555555555554</v>
      </c>
      <c r="F25" s="3"/>
      <c r="G25" s="2">
        <f>IF(F24="","",IF(F26="","",IF(F24:F26&gt;=0,(F24+F26)/2)))</f>
        <v>3.0350000000000001</v>
      </c>
      <c r="H25" s="2">
        <f>IF(F24="","",IF(F26="","",IF(F24:F26&gt;=0,(A26-A24))))</f>
        <v>50</v>
      </c>
      <c r="I25" s="7">
        <f>IF(F24="","",IF(F26="","",IF(F24:F26&gt;=0,(G25*H25)/27)))</f>
        <v>5.6203703703703702</v>
      </c>
    </row>
    <row r="26" spans="1:9" ht="15" customHeight="1" x14ac:dyDescent="0.2">
      <c r="A26" s="6">
        <f>A24+50</f>
        <v>1100</v>
      </c>
      <c r="B26" s="2">
        <v>2.74</v>
      </c>
      <c r="C26" s="34"/>
      <c r="D26" s="34"/>
      <c r="E26" s="34"/>
      <c r="F26" s="2">
        <v>1.1000000000000001</v>
      </c>
      <c r="G26" s="3"/>
      <c r="H26" s="3"/>
      <c r="I26" s="35"/>
    </row>
    <row r="27" spans="1:9" ht="15" customHeight="1" x14ac:dyDescent="0.2">
      <c r="A27" s="36"/>
      <c r="B27" s="3"/>
      <c r="C27" s="2">
        <f>IF(B26="","",IF(B28=""," ",IF(B26:B28&gt;=0,(B26+B28)/2)))</f>
        <v>2.4400000000000004</v>
      </c>
      <c r="D27" s="2">
        <f>IF(B26="","",IF(B28="","",IF(B26:B28&gt;=0,(A28-A26))))</f>
        <v>50</v>
      </c>
      <c r="E27" s="2">
        <f>IF(B26="","",IF(B28="","",IF(B26:B28&gt;=0,(C27*D27)/27," ")))</f>
        <v>4.518518518518519</v>
      </c>
      <c r="F27" s="3"/>
      <c r="G27" s="2">
        <f>IF(F26="","",IF(F28="","",IF(F26:F28&gt;=0,(F26+F28)/2)))</f>
        <v>39.619999999999997</v>
      </c>
      <c r="H27" s="2">
        <f>IF(F26="","",IF(F28="","",IF(F26:F28&gt;=0,(A28-A26))))</f>
        <v>50</v>
      </c>
      <c r="I27" s="7">
        <f>IF(F26="","",IF(F28="","",IF(F26:F28&gt;=0,(G27*H27)/27)))</f>
        <v>73.370370370370367</v>
      </c>
    </row>
    <row r="28" spans="1:9" ht="15" customHeight="1" x14ac:dyDescent="0.2">
      <c r="A28" s="6">
        <f>A26+50</f>
        <v>1150</v>
      </c>
      <c r="B28" s="2">
        <v>2.14</v>
      </c>
      <c r="C28" s="34"/>
      <c r="D28" s="34"/>
      <c r="E28" s="34"/>
      <c r="F28" s="2">
        <f>(1.04+77.6)-0.5</f>
        <v>78.14</v>
      </c>
      <c r="G28" s="3"/>
      <c r="H28" s="3"/>
      <c r="I28" s="35"/>
    </row>
    <row r="29" spans="1:9" ht="15" customHeight="1" x14ac:dyDescent="0.2">
      <c r="A29" s="36"/>
      <c r="B29" s="3"/>
      <c r="C29" s="2">
        <f>IF(B28="","",IF(B30=""," ",IF(B28:B30&gt;=0,(B28+B30)/2)))</f>
        <v>4.33</v>
      </c>
      <c r="D29" s="2">
        <f>IF(B28="","",IF(B30="","",IF(B28:B30&gt;=0,(A30-A28))))</f>
        <v>50</v>
      </c>
      <c r="E29" s="2">
        <f>IF(B28="","",IF(B30="","",IF(B28:B30&gt;=0,(C29*D29)/27," ")))</f>
        <v>8.018518518518519</v>
      </c>
      <c r="F29" s="3"/>
      <c r="G29" s="2">
        <f>IF(F28="","",IF(F30="","",IF(F28:F30&gt;=0,(F28+F30)/2)))</f>
        <v>46.55</v>
      </c>
      <c r="H29" s="2">
        <f>IF(F28="","",IF(F30="","",IF(F28:F30&gt;=0,(A30-A28))))</f>
        <v>50</v>
      </c>
      <c r="I29" s="7">
        <f>IF(F28="","",IF(F30="","",IF(F28:F30&gt;=0,(G29*H29)/27)))</f>
        <v>86.203703703703709</v>
      </c>
    </row>
    <row r="30" spans="1:9" ht="15" customHeight="1" x14ac:dyDescent="0.2">
      <c r="A30" s="6">
        <f>A28+50</f>
        <v>1200</v>
      </c>
      <c r="B30" s="2">
        <f>(5.42+1.6)-0.5</f>
        <v>6.52</v>
      </c>
      <c r="C30" s="34"/>
      <c r="D30" s="34"/>
      <c r="E30" s="34"/>
      <c r="F30" s="2">
        <f>(0.93+7.45+5.54+0.54)+0.5</f>
        <v>14.96</v>
      </c>
      <c r="G30" s="3"/>
      <c r="H30" s="3"/>
      <c r="I30" s="35"/>
    </row>
    <row r="31" spans="1:9" ht="15" customHeight="1" x14ac:dyDescent="0.2">
      <c r="A31" s="36"/>
      <c r="B31" s="3"/>
      <c r="C31" s="2">
        <f>IF(B30="","",IF(B32=""," ",IF(B30:B32&gt;=0,(B30+B32)/2)))</f>
        <v>5.07</v>
      </c>
      <c r="D31" s="2">
        <f>IF(B30="","",IF(B32="","",IF(B30:B32&gt;=0,(A32-A30))))</f>
        <v>50</v>
      </c>
      <c r="E31" s="2">
        <f>IF(B30="","",IF(B32="","",IF(B30:B32&gt;=0,(C31*D31)/27," ")))</f>
        <v>9.3888888888888893</v>
      </c>
      <c r="F31" s="3"/>
      <c r="G31" s="2">
        <f>IF(F30="","",IF(F32="","",IF(F30:F32&gt;=0,(F30+F32)/2)))</f>
        <v>14.315000000000001</v>
      </c>
      <c r="H31" s="2">
        <f>IF(F30="","",IF(F32="","",IF(F30:F32&gt;=0,(A32-A30))))</f>
        <v>50</v>
      </c>
      <c r="I31" s="7">
        <f>IF(F30="","",IF(F32="","",IF(F30:F32&gt;=0,(G31*H31)/27)))</f>
        <v>26.509259259259263</v>
      </c>
    </row>
    <row r="32" spans="1:9" ht="15" customHeight="1" x14ac:dyDescent="0.2">
      <c r="A32" s="6">
        <f>A30+50</f>
        <v>1250</v>
      </c>
      <c r="B32" s="2">
        <f>(2.04+1.08)+0.5</f>
        <v>3.62</v>
      </c>
      <c r="C32" s="34"/>
      <c r="D32" s="34"/>
      <c r="E32" s="34"/>
      <c r="F32" s="2">
        <f>(0.89+8.58+4.23+0.47)-0.5</f>
        <v>13.670000000000002</v>
      </c>
      <c r="G32" s="3"/>
      <c r="H32" s="3"/>
      <c r="I32" s="35"/>
    </row>
    <row r="33" spans="1:9" ht="15" customHeight="1" x14ac:dyDescent="0.2">
      <c r="A33" s="36"/>
      <c r="B33" s="3"/>
      <c r="C33" s="2">
        <f>IF(B32="","",IF(B34=""," ",IF(B32:B34&gt;=0,(B32+B34)/2)))</f>
        <v>3.0049999999999999</v>
      </c>
      <c r="D33" s="2">
        <f>IF(B32="","",IF(B34="","",IF(B32:B34&gt;=0,(A34-A32))))</f>
        <v>50</v>
      </c>
      <c r="E33" s="2">
        <f>IF(B32="","",IF(B34="","",IF(B32:B34&gt;=0,(C33*D33)/27," ")))</f>
        <v>5.5648148148148149</v>
      </c>
      <c r="F33" s="3"/>
      <c r="G33" s="2">
        <f>IF(F32="","",IF(F34="","",IF(F32:F34&gt;=0,(F32+F34)/2)))</f>
        <v>14.145</v>
      </c>
      <c r="H33" s="2">
        <f>IF(F32="","",IF(F34="","",IF(F32:F34&gt;=0,(A34-A32))))</f>
        <v>50</v>
      </c>
      <c r="I33" s="7">
        <f>IF(F32="","",IF(F34="","",IF(F32:F34&gt;=0,(G33*H33)/27)))</f>
        <v>26.194444444444443</v>
      </c>
    </row>
    <row r="34" spans="1:9" ht="15" customHeight="1" x14ac:dyDescent="0.2">
      <c r="A34" s="6">
        <f>A32+50</f>
        <v>1300</v>
      </c>
      <c r="B34" s="2">
        <f>(0.67+2.22)-0.5</f>
        <v>2.39</v>
      </c>
      <c r="C34" s="34"/>
      <c r="D34" s="34"/>
      <c r="E34" s="34"/>
      <c r="F34" s="2">
        <f>(0.37+8.37+4+1.38)+0.5</f>
        <v>14.619999999999997</v>
      </c>
      <c r="G34" s="3"/>
      <c r="H34" s="3"/>
      <c r="I34" s="35"/>
    </row>
    <row r="35" spans="1:9" ht="15" customHeight="1" x14ac:dyDescent="0.2">
      <c r="A35" s="36"/>
      <c r="B35" s="3"/>
      <c r="C35" s="2">
        <f>IF(B34="","",IF(B36=""," ",IF(B34:B36&gt;=0,(B34+B36)/2)))</f>
        <v>2.4800000000000004</v>
      </c>
      <c r="D35" s="2">
        <f>IF(B34="","",IF(B36="","",IF(B34:B36&gt;=0,(A36-A34))))</f>
        <v>50</v>
      </c>
      <c r="E35" s="2">
        <f>IF(B34="","",IF(B36="","",IF(B34:B36&gt;=0,(C35*D35)/27," ")))</f>
        <v>4.5925925925925934</v>
      </c>
      <c r="F35" s="3"/>
      <c r="G35" s="2">
        <f>IF(F34="","",IF(F36="","",IF(F34:F36&gt;=0,(F34+F36)/2)))</f>
        <v>14.569999999999999</v>
      </c>
      <c r="H35" s="2">
        <f>IF(F34="","",IF(F36="","",IF(F34:F36&gt;=0,(A36-A34))))</f>
        <v>50</v>
      </c>
      <c r="I35" s="7">
        <f>IF(F34="","",IF(F36="","",IF(F34:F36&gt;=0,(G35*H35)/27)))</f>
        <v>26.981481481481477</v>
      </c>
    </row>
    <row r="36" spans="1:9" ht="15" customHeight="1" x14ac:dyDescent="0.2">
      <c r="A36" s="6">
        <f>A34+50</f>
        <v>1350</v>
      </c>
      <c r="B36" s="2">
        <f>(0.7+0.34+1.03)+0.5</f>
        <v>2.5700000000000003</v>
      </c>
      <c r="C36" s="34"/>
      <c r="D36" s="34"/>
      <c r="E36" s="34"/>
      <c r="F36" s="2">
        <f>(0.71+9.4+3.02+1.89)-0.5</f>
        <v>14.52</v>
      </c>
      <c r="G36" s="3"/>
      <c r="H36" s="3"/>
      <c r="I36" s="35"/>
    </row>
    <row r="37" spans="1:9" ht="15" customHeight="1" x14ac:dyDescent="0.2">
      <c r="A37" s="36"/>
      <c r="B37" s="3"/>
      <c r="C37" s="2">
        <f>IF(B36="","",IF(B38=""," ",IF(B36:B38&gt;=0,(B36+B38)/2)))</f>
        <v>3.6050000000000004</v>
      </c>
      <c r="D37" s="2">
        <f>IF(B36="","",IF(B38="","",IF(B36:B38&gt;=0,(A38-A36))))</f>
        <v>50</v>
      </c>
      <c r="E37" s="2">
        <f>IF(B36="","",IF(B38="","",IF(B36:B38&gt;=0,(C37*D37)/27," ")))</f>
        <v>6.6759259259259274</v>
      </c>
      <c r="F37" s="3"/>
      <c r="G37" s="2">
        <f>IF(F36="","",IF(F38="","",IF(F36:F38&gt;=0,(F36+F38)/2)))</f>
        <v>16.43</v>
      </c>
      <c r="H37" s="2">
        <f>IF(F36="","",IF(F38="","",IF(F36:F38&gt;=0,(A38-A36))))</f>
        <v>50</v>
      </c>
      <c r="I37" s="7">
        <f>IF(F36="","",IF(F38="","",IF(F36:F38&gt;=0,(G37*H37)/27)))</f>
        <v>30.425925925925927</v>
      </c>
    </row>
    <row r="38" spans="1:9" ht="15" customHeight="1" x14ac:dyDescent="0.2">
      <c r="A38" s="6">
        <f>A36+50</f>
        <v>1400</v>
      </c>
      <c r="B38" s="2">
        <f>(1.82+0.13+2.19)+0.5</f>
        <v>4.6400000000000006</v>
      </c>
      <c r="C38" s="34"/>
      <c r="D38" s="34"/>
      <c r="E38" s="34"/>
      <c r="F38" s="2">
        <f>(0.18+14.05+3.05+1.56)-0.5</f>
        <v>18.34</v>
      </c>
      <c r="G38" s="3"/>
      <c r="H38" s="3"/>
      <c r="I38" s="35"/>
    </row>
    <row r="39" spans="1:9" ht="15" customHeight="1" x14ac:dyDescent="0.2">
      <c r="A39" s="36"/>
      <c r="B39" s="3"/>
      <c r="C39" s="2">
        <f>IF(B38="","",IF(B40=""," ",IF(B38:B40&gt;=0,(B38+B40)/2)))</f>
        <v>5.17</v>
      </c>
      <c r="D39" s="2">
        <f>IF(B38="","",IF(B40="","",IF(B38:B40&gt;=0,(A40-A38))))</f>
        <v>50</v>
      </c>
      <c r="E39" s="2">
        <f>IF(B38="","",IF(B40="","",IF(B38:B40&gt;=0,(C39*D39)/27," ")))</f>
        <v>9.5740740740740744</v>
      </c>
      <c r="F39" s="3"/>
      <c r="G39" s="2">
        <f>IF(F38="","",IF(F40="","",IF(F38:F40&gt;=0,(F38+F40)/2)))</f>
        <v>14.994999999999999</v>
      </c>
      <c r="H39" s="2">
        <f>IF(F38="","",IF(F40="","",IF(F38:F40&gt;=0,(A40-A38))))</f>
        <v>50</v>
      </c>
      <c r="I39" s="7">
        <f>IF(F38="","",IF(F40="","",IF(F38:F40&gt;=0,(G39*H39)/27)))</f>
        <v>27.768518518518519</v>
      </c>
    </row>
    <row r="40" spans="1:9" ht="15" customHeight="1" x14ac:dyDescent="0.2">
      <c r="A40" s="6">
        <f>A38+50</f>
        <v>1450</v>
      </c>
      <c r="B40" s="2">
        <f>(2.25+0.85+2.1)+0.5</f>
        <v>5.7</v>
      </c>
      <c r="C40" s="34"/>
      <c r="D40" s="34"/>
      <c r="E40" s="34"/>
      <c r="F40" s="2">
        <f>(0.29+9.24+1.28+1.34)-0.5</f>
        <v>11.649999999999999</v>
      </c>
      <c r="G40" s="3"/>
      <c r="H40" s="3"/>
      <c r="I40" s="35"/>
    </row>
    <row r="41" spans="1:9" ht="15" customHeight="1" x14ac:dyDescent="0.2">
      <c r="A41" s="36"/>
      <c r="B41" s="3"/>
      <c r="C41" s="2">
        <f>IF(B40="","",IF(B42=""," ",IF(B40:B42&gt;=0,(B40+B42)/2)))</f>
        <v>4.76</v>
      </c>
      <c r="D41" s="2">
        <f>IF(B40="","",IF(B42="","",IF(B40:B42&gt;=0,(A42-A40))))</f>
        <v>50</v>
      </c>
      <c r="E41" s="2">
        <f>IF(B40="","",IF(B42="","",IF(B40:B42&gt;=0,(C41*D41)/27," ")))</f>
        <v>8.8148148148148149</v>
      </c>
      <c r="F41" s="3"/>
      <c r="G41" s="2">
        <f>IF(F40="","",IF(F42="","",IF(F40:F42&gt;=0,(F40+F42)/2)))</f>
        <v>14.899999999999999</v>
      </c>
      <c r="H41" s="2">
        <f>IF(F40="","",IF(F42="","",IF(F40:F42&gt;=0,(A42-A40))))</f>
        <v>50</v>
      </c>
      <c r="I41" s="7">
        <f>IF(F40="","",IF(F42="","",IF(F40:F42&gt;=0,(G41*H41)/27)))</f>
        <v>27.592592592592588</v>
      </c>
    </row>
    <row r="42" spans="1:9" ht="15" customHeight="1" x14ac:dyDescent="0.2">
      <c r="A42" s="8">
        <f>A40+50</f>
        <v>1500</v>
      </c>
      <c r="B42" s="4">
        <f>(1.2+0.49+1.63)+0.5</f>
        <v>3.82</v>
      </c>
      <c r="C42" s="37"/>
      <c r="D42" s="37"/>
      <c r="E42" s="37"/>
      <c r="F42" s="4">
        <f>(0.41+12.86+2.26+2.12)+0.5</f>
        <v>18.149999999999999</v>
      </c>
      <c r="G42" s="38"/>
      <c r="H42" s="38"/>
      <c r="I42" s="39"/>
    </row>
    <row r="43" spans="1:9" ht="15" customHeight="1" x14ac:dyDescent="0.2">
      <c r="A43" s="10"/>
      <c r="D43" s="12" t="s">
        <v>17</v>
      </c>
      <c r="E43" s="40">
        <f>IF(A14&gt;=0,SUM(E13:E42)," ")</f>
        <v>112.38888888888889</v>
      </c>
      <c r="H43" s="12" t="s">
        <v>18</v>
      </c>
      <c r="I43" s="41">
        <f>IF(F14&gt;=0,SUM(I13:I42)," ")</f>
        <v>474.62592592592591</v>
      </c>
    </row>
    <row r="44" spans="1:9" ht="5.0999999999999996" customHeight="1" x14ac:dyDescent="0.2">
      <c r="A44" s="42"/>
      <c r="B44" s="25"/>
      <c r="C44" s="25"/>
      <c r="D44" s="43"/>
      <c r="E44" s="44"/>
      <c r="F44" s="25"/>
      <c r="G44" s="25"/>
      <c r="H44" s="43"/>
      <c r="I44" s="45"/>
    </row>
    <row r="45" spans="1:9" x14ac:dyDescent="0.2">
      <c r="A45" s="46" t="s">
        <v>19</v>
      </c>
      <c r="B45" s="47"/>
      <c r="C45" s="47"/>
      <c r="D45" s="47"/>
      <c r="E45" s="47"/>
      <c r="F45" s="47"/>
      <c r="G45" s="47"/>
      <c r="H45" s="47"/>
      <c r="I45" s="48"/>
    </row>
    <row r="46" spans="1:9" x14ac:dyDescent="0.2">
      <c r="A46" s="49" t="s">
        <v>20</v>
      </c>
      <c r="B46" s="50"/>
      <c r="C46" s="50"/>
      <c r="D46" s="50"/>
      <c r="E46" s="50"/>
      <c r="F46" s="50"/>
      <c r="G46" s="50"/>
      <c r="H46" s="50"/>
      <c r="I46" s="51"/>
    </row>
    <row r="47" spans="1:9" x14ac:dyDescent="0.2">
      <c r="A47" s="10"/>
      <c r="E47" s="52"/>
      <c r="G47" s="53"/>
      <c r="I47" s="54"/>
    </row>
    <row r="48" spans="1:9" x14ac:dyDescent="0.2">
      <c r="A48" s="10"/>
      <c r="D48" s="12"/>
      <c r="E48" s="52"/>
      <c r="H48" s="12"/>
      <c r="I48" s="54"/>
    </row>
    <row r="49" spans="1:9" x14ac:dyDescent="0.2">
      <c r="A49" s="64" t="s">
        <v>21</v>
      </c>
      <c r="B49" s="65"/>
      <c r="C49" s="65"/>
      <c r="D49" s="5">
        <v>45756</v>
      </c>
      <c r="E49" s="55"/>
      <c r="F49" s="65"/>
      <c r="G49" s="65"/>
      <c r="H49" s="65"/>
      <c r="I49" s="9"/>
    </row>
    <row r="50" spans="1:9" x14ac:dyDescent="0.2">
      <c r="A50" s="56" t="s">
        <v>22</v>
      </c>
      <c r="B50" s="57"/>
      <c r="C50" s="57"/>
      <c r="D50" s="58" t="s">
        <v>4</v>
      </c>
      <c r="F50" s="57" t="s">
        <v>23</v>
      </c>
      <c r="G50" s="57"/>
      <c r="H50" s="57"/>
      <c r="I50" s="59" t="s">
        <v>4</v>
      </c>
    </row>
    <row r="51" spans="1:9" x14ac:dyDescent="0.2">
      <c r="A51" s="10"/>
      <c r="I51" s="11"/>
    </row>
    <row r="52" spans="1:9" x14ac:dyDescent="0.2">
      <c r="A52" s="10"/>
      <c r="I52" s="11"/>
    </row>
    <row r="53" spans="1:9" x14ac:dyDescent="0.2">
      <c r="A53" s="63" t="s">
        <v>24</v>
      </c>
      <c r="B53" s="60"/>
      <c r="C53" s="60"/>
      <c r="D53" s="60"/>
      <c r="E53" s="60"/>
      <c r="F53" s="60"/>
      <c r="G53" s="60"/>
      <c r="H53" s="60"/>
      <c r="I53" s="61"/>
    </row>
    <row r="54" spans="1:9" x14ac:dyDescent="0.2">
      <c r="A54" s="10"/>
    </row>
  </sheetData>
  <mergeCells count="8">
    <mergeCell ref="A49:C49"/>
    <mergeCell ref="F49:H49"/>
    <mergeCell ref="A1:B1"/>
    <mergeCell ref="C1:I1"/>
    <mergeCell ref="B3:C3"/>
    <mergeCell ref="E3:F3"/>
    <mergeCell ref="H3:I3"/>
    <mergeCell ref="B4:C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4"/>
  <sheetViews>
    <sheetView topLeftCell="A21" workbookViewId="0">
      <selection activeCell="N18" sqref="N18"/>
    </sheetView>
  </sheetViews>
  <sheetFormatPr defaultRowHeight="12.75" x14ac:dyDescent="0.2"/>
  <cols>
    <col min="1" max="1" width="12.7109375" style="1" customWidth="1"/>
    <col min="2" max="2" width="10.7109375" style="1" customWidth="1"/>
    <col min="3" max="5" width="10" style="1" customWidth="1"/>
    <col min="6" max="6" width="12.28515625" style="1" customWidth="1"/>
    <col min="7" max="9" width="10" style="1" customWidth="1"/>
    <col min="10" max="16384" width="9.140625" style="1"/>
  </cols>
  <sheetData>
    <row r="1" spans="1:9" ht="21" x14ac:dyDescent="0.35">
      <c r="A1" s="67" t="s">
        <v>0</v>
      </c>
      <c r="B1" s="68"/>
      <c r="C1" s="67" t="s">
        <v>1</v>
      </c>
      <c r="D1" s="69"/>
      <c r="E1" s="69"/>
      <c r="F1" s="69"/>
      <c r="G1" s="69"/>
      <c r="H1" s="69"/>
      <c r="I1" s="68"/>
    </row>
    <row r="2" spans="1:9" x14ac:dyDescent="0.2">
      <c r="A2" s="10"/>
      <c r="I2" s="11"/>
    </row>
    <row r="3" spans="1:9" x14ac:dyDescent="0.2">
      <c r="A3" s="10" t="s">
        <v>2</v>
      </c>
      <c r="B3" s="70" t="s">
        <v>25</v>
      </c>
      <c r="C3" s="70"/>
      <c r="D3" s="12" t="s">
        <v>3</v>
      </c>
      <c r="E3" s="70"/>
      <c r="F3" s="70"/>
      <c r="G3" s="12" t="s">
        <v>4</v>
      </c>
      <c r="H3" s="71">
        <v>45756</v>
      </c>
      <c r="I3" s="72"/>
    </row>
    <row r="4" spans="1:9" x14ac:dyDescent="0.2">
      <c r="A4" s="10" t="s">
        <v>5</v>
      </c>
      <c r="B4" s="66"/>
      <c r="C4" s="66"/>
      <c r="D4" s="12"/>
      <c r="E4" s="13"/>
      <c r="F4" s="13"/>
      <c r="G4" s="12"/>
      <c r="H4" s="14"/>
      <c r="I4" s="15"/>
    </row>
    <row r="5" spans="1:9" x14ac:dyDescent="0.2">
      <c r="A5" s="10"/>
      <c r="H5" s="16"/>
      <c r="I5" s="11"/>
    </row>
    <row r="6" spans="1:9" x14ac:dyDescent="0.2">
      <c r="A6" s="10"/>
      <c r="I6" s="11"/>
    </row>
    <row r="7" spans="1:9" ht="5.0999999999999996" customHeight="1" x14ac:dyDescent="0.2">
      <c r="A7" s="17"/>
      <c r="B7" s="18"/>
      <c r="C7" s="19"/>
      <c r="D7" s="19"/>
      <c r="E7" s="20"/>
      <c r="F7" s="18"/>
      <c r="G7" s="19"/>
      <c r="H7" s="19"/>
      <c r="I7" s="21"/>
    </row>
    <row r="8" spans="1:9" x14ac:dyDescent="0.2">
      <c r="A8" s="10"/>
      <c r="B8" s="22" t="s">
        <v>6</v>
      </c>
      <c r="C8" s="12" t="s">
        <v>7</v>
      </c>
      <c r="D8" s="62"/>
      <c r="E8" s="23"/>
      <c r="F8" s="22" t="s">
        <v>8</v>
      </c>
      <c r="G8" s="12" t="s">
        <v>7</v>
      </c>
      <c r="H8" s="62"/>
      <c r="I8" s="11"/>
    </row>
    <row r="9" spans="1:9" ht="5.0999999999999996" customHeight="1" x14ac:dyDescent="0.2">
      <c r="A9" s="10"/>
      <c r="B9" s="24"/>
      <c r="C9" s="25"/>
      <c r="D9" s="25"/>
      <c r="E9" s="26"/>
      <c r="F9" s="24"/>
      <c r="G9" s="25"/>
      <c r="H9" s="25"/>
      <c r="I9" s="27"/>
    </row>
    <row r="10" spans="1:9" ht="38.25" x14ac:dyDescent="0.2">
      <c r="A10" s="28"/>
      <c r="B10" s="29" t="s">
        <v>9</v>
      </c>
      <c r="C10" s="29" t="s">
        <v>10</v>
      </c>
      <c r="D10" s="29" t="s">
        <v>11</v>
      </c>
      <c r="E10" s="29" t="s">
        <v>12</v>
      </c>
      <c r="F10" s="29" t="s">
        <v>9</v>
      </c>
      <c r="G10" s="29" t="s">
        <v>10</v>
      </c>
      <c r="H10" s="29" t="s">
        <v>11</v>
      </c>
      <c r="I10" s="30" t="s">
        <v>12</v>
      </c>
    </row>
    <row r="11" spans="1:9" x14ac:dyDescent="0.2">
      <c r="A11" s="31" t="s">
        <v>13</v>
      </c>
      <c r="B11" s="32" t="s">
        <v>14</v>
      </c>
      <c r="C11" s="32" t="s">
        <v>14</v>
      </c>
      <c r="D11" s="32" t="s">
        <v>15</v>
      </c>
      <c r="E11" s="32" t="s">
        <v>16</v>
      </c>
      <c r="F11" s="32" t="s">
        <v>14</v>
      </c>
      <c r="G11" s="32" t="s">
        <v>14</v>
      </c>
      <c r="H11" s="32" t="s">
        <v>15</v>
      </c>
      <c r="I11" s="33" t="s">
        <v>16</v>
      </c>
    </row>
    <row r="12" spans="1:9" ht="15" customHeight="1" x14ac:dyDescent="0.2">
      <c r="A12" s="6">
        <v>1500</v>
      </c>
      <c r="B12" s="2">
        <f>'CA-EW-2'!B42</f>
        <v>3.82</v>
      </c>
      <c r="C12" s="34"/>
      <c r="D12" s="34"/>
      <c r="E12" s="34"/>
      <c r="F12" s="2">
        <f>'CA-EW-2'!F42</f>
        <v>18.149999999999999</v>
      </c>
      <c r="G12" s="3"/>
      <c r="H12" s="3"/>
      <c r="I12" s="35"/>
    </row>
    <row r="13" spans="1:9" ht="15" customHeight="1" x14ac:dyDescent="0.2">
      <c r="A13" s="36"/>
      <c r="B13" s="3"/>
      <c r="C13" s="2">
        <f>IF(B12="","",IF(B14=""," ",IF(B12:B14&gt;=0,(B12+B14)/2)))</f>
        <v>4.05</v>
      </c>
      <c r="D13" s="2">
        <f>IF(B12="","",IF(B14="","",IF(B12:B14&gt;=0,(A14-A12))))</f>
        <v>50</v>
      </c>
      <c r="E13" s="2">
        <f>IF(B12="","",IF(B14="","",IF(B12:B14&gt;=0,(C13*D13)/27," ")))</f>
        <v>7.5</v>
      </c>
      <c r="F13" s="3"/>
      <c r="G13" s="2">
        <f>IF(F12="","",IF(F14="","",IF(F12:F14&gt;=0,(F12+F14)/2)))</f>
        <v>16.59</v>
      </c>
      <c r="H13" s="2">
        <f>IF(F12="","",IF(F14="","",IF(F12:F14&gt;=0,(A14-A12))))</f>
        <v>50</v>
      </c>
      <c r="I13" s="7">
        <f>IF(F12="","",IF(F14="","",IF(F12:F14&gt;=0,(G13*H13)/27)))</f>
        <v>30.722222222222221</v>
      </c>
    </row>
    <row r="14" spans="1:9" ht="15" customHeight="1" x14ac:dyDescent="0.2">
      <c r="A14" s="6">
        <f>A12+50</f>
        <v>1550</v>
      </c>
      <c r="B14" s="2">
        <f>(2.31+0.49+1.98)-0.5</f>
        <v>4.2799999999999994</v>
      </c>
      <c r="C14" s="34"/>
      <c r="D14" s="34"/>
      <c r="E14" s="34"/>
      <c r="F14" s="2">
        <f>(0.29+12.05+1.83+1.36)-0.5</f>
        <v>15.03</v>
      </c>
      <c r="G14" s="3"/>
      <c r="H14" s="3"/>
      <c r="I14" s="35"/>
    </row>
    <row r="15" spans="1:9" ht="15" customHeight="1" x14ac:dyDescent="0.2">
      <c r="A15" s="36"/>
      <c r="B15" s="3"/>
      <c r="C15" s="2">
        <f>IF(B14="","",IF(B16=""," ",IF(B14:B16&gt;=0,(B14+B16)/2)))</f>
        <v>6.125</v>
      </c>
      <c r="D15" s="2">
        <f>IF(B14="","",IF(B16="","",IF(B14:B16&gt;=0,(A16-A14))))</f>
        <v>50</v>
      </c>
      <c r="E15" s="2">
        <f>IF(B14="","",IF(B16="","",IF(B14:B16&gt;=0,(C15*D15)/27," ")))</f>
        <v>11.342592592592593</v>
      </c>
      <c r="F15" s="3"/>
      <c r="G15" s="2">
        <f>IF(F14="","",IF(F16="","",IF(F14:F16&gt;=0,(F14+F16)/2)))</f>
        <v>12.594999999999999</v>
      </c>
      <c r="H15" s="2">
        <f>IF(F14="","",IF(F16="","",IF(F14:F16&gt;=0,(A16-A14))))</f>
        <v>50</v>
      </c>
      <c r="I15" s="7">
        <f>IF(F14="","",IF(F16="","",IF(F14:F16&gt;=0,(G15*H15)/27)))</f>
        <v>23.324074074074073</v>
      </c>
    </row>
    <row r="16" spans="1:9" ht="15" customHeight="1" x14ac:dyDescent="0.2">
      <c r="A16" s="6">
        <f>A14+50</f>
        <v>1600</v>
      </c>
      <c r="B16" s="2">
        <f>(3.38+2.18+1.91)+0.5</f>
        <v>7.9700000000000006</v>
      </c>
      <c r="C16" s="34"/>
      <c r="D16" s="34"/>
      <c r="E16" s="34"/>
      <c r="F16" s="2">
        <f>(0.16+9.01+0.37+1.12)-0.5</f>
        <v>10.16</v>
      </c>
      <c r="G16" s="3"/>
      <c r="H16" s="3"/>
      <c r="I16" s="35"/>
    </row>
    <row r="17" spans="1:9" ht="15" customHeight="1" x14ac:dyDescent="0.2">
      <c r="A17" s="36"/>
      <c r="B17" s="3"/>
      <c r="C17" s="2">
        <f>IF(B16="","",IF(B18=""," ",IF(B16:B18&gt;=0,(B16+B18)/2)))</f>
        <v>7.2150000000000007</v>
      </c>
      <c r="D17" s="2">
        <f>IF(B16="","",IF(B18="","",IF(B16:B18&gt;=0,(A18-A16))))</f>
        <v>50</v>
      </c>
      <c r="E17" s="2">
        <f>IF(B16="","",IF(B18="","",IF(B16:B18&gt;=0,(C17*D17)/27," ")))</f>
        <v>13.361111111111112</v>
      </c>
      <c r="F17" s="3"/>
      <c r="G17" s="2">
        <f>IF(F16="","",IF(F18="","",IF(F16:F18&gt;=0,(F16+F18)/2)))</f>
        <v>10.4</v>
      </c>
      <c r="H17" s="2">
        <f>IF(F16="","",IF(F18="","",IF(F16:F18&gt;=0,(A18-A16))))</f>
        <v>50</v>
      </c>
      <c r="I17" s="7">
        <f>IF(F16="","",IF(F18="","",IF(F16:F18&gt;=0,(G17*H17)/27)))</f>
        <v>19.25925925925926</v>
      </c>
    </row>
    <row r="18" spans="1:9" ht="15" customHeight="1" x14ac:dyDescent="0.2">
      <c r="A18" s="6">
        <f>A16+50</f>
        <v>1650</v>
      </c>
      <c r="B18" s="2">
        <f>(1.83+3.56+1.57)-0.5</f>
        <v>6.4600000000000009</v>
      </c>
      <c r="C18" s="34"/>
      <c r="D18" s="34"/>
      <c r="E18" s="34"/>
      <c r="F18" s="2">
        <f>(-0.35+8.52+0.14+1.83)+0.5</f>
        <v>10.64</v>
      </c>
      <c r="G18" s="3"/>
      <c r="H18" s="3"/>
      <c r="I18" s="35"/>
    </row>
    <row r="19" spans="1:9" ht="15" customHeight="1" x14ac:dyDescent="0.2">
      <c r="A19" s="36"/>
      <c r="B19" s="3"/>
      <c r="C19" s="2">
        <f>IF(B18="","",IF(B20=""," ",IF(B18:B20&gt;=0,(B18+B20)/2)))</f>
        <v>6.0900000000000007</v>
      </c>
      <c r="D19" s="2">
        <f>IF(B18="","",IF(B20="","",IF(B18:B20&gt;=0,(A20-A18))))</f>
        <v>50</v>
      </c>
      <c r="E19" s="2">
        <f>IF(B18="","",IF(B20="","",IF(B18:B20&gt;=0,(C19*D19)/27," ")))</f>
        <v>11.27777777777778</v>
      </c>
      <c r="F19" s="3"/>
      <c r="G19" s="2">
        <f>IF(F18="","",IF(F20="","",IF(F18:F20&gt;=0,(F18+F20)/2)))</f>
        <v>10.605</v>
      </c>
      <c r="H19" s="2">
        <f>IF(F18="","",IF(F20="","",IF(F18:F20&gt;=0,(A20-A18))))</f>
        <v>50</v>
      </c>
      <c r="I19" s="7">
        <f>IF(F18="","",IF(F20="","",IF(F18:F20&gt;=0,(G19*H19)/27)))</f>
        <v>19.638888888888889</v>
      </c>
    </row>
    <row r="20" spans="1:9" ht="15" customHeight="1" x14ac:dyDescent="0.2">
      <c r="A20" s="6">
        <f>A18+50</f>
        <v>1700</v>
      </c>
      <c r="B20" s="2">
        <f>(1.6+1.84+1.78)+0.5</f>
        <v>5.7200000000000006</v>
      </c>
      <c r="C20" s="34"/>
      <c r="D20" s="34"/>
      <c r="E20" s="34"/>
      <c r="F20" s="2">
        <f>(0.5+8.45+0.4+1.72)-0.5</f>
        <v>10.57</v>
      </c>
      <c r="G20" s="3"/>
      <c r="H20" s="3"/>
      <c r="I20" s="35"/>
    </row>
    <row r="21" spans="1:9" ht="15" customHeight="1" x14ac:dyDescent="0.2">
      <c r="A21" s="36"/>
      <c r="B21" s="3"/>
      <c r="C21" s="2">
        <f>IF(B20="","",IF(B22=""," ",IF(B20:B22&gt;=0,(B20+B22)/2)))</f>
        <v>4.9150000000000009</v>
      </c>
      <c r="D21" s="2">
        <f>IF(B20="","",IF(B22="","",IF(B20:B22&gt;=0,(A22-A20))))</f>
        <v>50</v>
      </c>
      <c r="E21" s="2">
        <f>IF(B20="","",IF(B22="","",IF(B20:B22&gt;=0,(C21*D21)/27," ")))</f>
        <v>9.1018518518518547</v>
      </c>
      <c r="F21" s="3"/>
      <c r="G21" s="2">
        <f>IF(F20="","",IF(F22="","",IF(F20:F22&gt;=0,(F20+F22)/2)))</f>
        <v>11.695</v>
      </c>
      <c r="H21" s="2">
        <f>IF(F20="","",IF(F22="","",IF(F20:F22&gt;=0,(A22-A20))))</f>
        <v>50</v>
      </c>
      <c r="I21" s="7">
        <f>IF(F20="","",IF(F22="","",IF(F20:F22&gt;=0,(G21*H21)/27)))</f>
        <v>21.657407407407408</v>
      </c>
    </row>
    <row r="22" spans="1:9" ht="15" customHeight="1" x14ac:dyDescent="0.2">
      <c r="A22" s="6">
        <f>A20+50</f>
        <v>1750</v>
      </c>
      <c r="B22" s="2">
        <f>(1.22+1.8+1.59)-0.5</f>
        <v>4.1100000000000003</v>
      </c>
      <c r="C22" s="34"/>
      <c r="D22" s="34"/>
      <c r="E22" s="34"/>
      <c r="F22" s="2">
        <f>(0.36+9.45+0.46+2.05)+0.5</f>
        <v>12.82</v>
      </c>
      <c r="G22" s="3"/>
      <c r="H22" s="3"/>
      <c r="I22" s="35"/>
    </row>
    <row r="23" spans="1:9" ht="15" customHeight="1" x14ac:dyDescent="0.2">
      <c r="A23" s="36"/>
      <c r="B23" s="3"/>
      <c r="C23" s="2">
        <f>IF(B22="","",IF(B24=""," ",IF(B22:B24&gt;=0,(B22+B24)/2)))</f>
        <v>4.0350000000000001</v>
      </c>
      <c r="D23" s="2">
        <f>IF(B22="","",IF(B24="","",IF(B22:B24&gt;=0,(A24-A22))))</f>
        <v>50</v>
      </c>
      <c r="E23" s="2">
        <f>IF(B22="","",IF(B24="","",IF(B22:B24&gt;=0,(C23*D23)/27," ")))</f>
        <v>7.4722222222222223</v>
      </c>
      <c r="F23" s="3"/>
      <c r="G23" s="2">
        <f>IF(F22="","",IF(F24="","",IF(F22:F24&gt;=0,(F22+F24)/2)))</f>
        <v>13.620000000000001</v>
      </c>
      <c r="H23" s="2">
        <f>IF(F22="","",IF(F24="","",IF(F22:F24&gt;=0,(A24-A22))))</f>
        <v>50</v>
      </c>
      <c r="I23" s="7">
        <f>IF(F22="","",IF(F24="","",IF(F22:F24&gt;=0,(G23*H23)/27)))</f>
        <v>25.222222222222221</v>
      </c>
    </row>
    <row r="24" spans="1:9" ht="15" customHeight="1" x14ac:dyDescent="0.2">
      <c r="A24" s="6">
        <f>A22+50</f>
        <v>1800</v>
      </c>
      <c r="B24" s="2">
        <f>(0.27+1.45+1.74)+0.5</f>
        <v>3.96</v>
      </c>
      <c r="C24" s="34"/>
      <c r="D24" s="34"/>
      <c r="E24" s="34"/>
      <c r="F24" s="2">
        <f>(10.95+0.55+3.12+0.3)-0.5</f>
        <v>14.420000000000002</v>
      </c>
      <c r="G24" s="3"/>
      <c r="H24" s="3"/>
      <c r="I24" s="35"/>
    </row>
    <row r="25" spans="1:9" ht="15" customHeight="1" x14ac:dyDescent="0.2">
      <c r="A25" s="36"/>
      <c r="B25" s="3"/>
      <c r="C25" s="2">
        <f>IF(B24="","",IF(B26=""," ",IF(B24:B26&gt;=0,(B24+B26)/2)))</f>
        <v>3.9299999999999997</v>
      </c>
      <c r="D25" s="2">
        <f>IF(B24="","",IF(B26="","",IF(B24:B26&gt;=0,(A26-A24))))</f>
        <v>50</v>
      </c>
      <c r="E25" s="2">
        <f>IF(B24="","",IF(B26="","",IF(B24:B26&gt;=0,(C25*D25)/27," ")))</f>
        <v>7.2777777777777777</v>
      </c>
      <c r="F25" s="3"/>
      <c r="G25" s="2">
        <f>IF(F24="","",IF(F26="","",IF(F24:F26&gt;=0,(F24+F26)/2)))</f>
        <v>14.485000000000001</v>
      </c>
      <c r="H25" s="2">
        <f>IF(F24="","",IF(F26="","",IF(F24:F26&gt;=0,(A26-A24))))</f>
        <v>50</v>
      </c>
      <c r="I25" s="7">
        <f>IF(F24="","",IF(F26="","",IF(F24:F26&gt;=0,(G25*H25)/27)))</f>
        <v>26.82407407407408</v>
      </c>
    </row>
    <row r="26" spans="1:9" ht="15" customHeight="1" x14ac:dyDescent="0.2">
      <c r="A26" s="6">
        <f>A24+50</f>
        <v>1850</v>
      </c>
      <c r="B26" s="2">
        <f>(1.88+1.52)+0.5</f>
        <v>3.9</v>
      </c>
      <c r="C26" s="34"/>
      <c r="D26" s="34"/>
      <c r="E26" s="34"/>
      <c r="F26" s="2">
        <f>(0.57+7.92+0.51+5.05)+0.5</f>
        <v>14.55</v>
      </c>
      <c r="G26" s="3"/>
      <c r="H26" s="3"/>
      <c r="I26" s="35"/>
    </row>
    <row r="27" spans="1:9" ht="15" customHeight="1" x14ac:dyDescent="0.2">
      <c r="A27" s="36"/>
      <c r="B27" s="3"/>
      <c r="C27" s="2">
        <f>IF(B26="","",IF(B28=""," ",IF(B26:B28&gt;=0,(B26+B28)/2)))</f>
        <v>1.9749999999999999</v>
      </c>
      <c r="D27" s="2">
        <f>IF(B26="","",IF(B28="","",IF(B26:B28&gt;=0,(A28-A26))))</f>
        <v>50</v>
      </c>
      <c r="E27" s="2">
        <f>IF(B26="","",IF(B28="","",IF(B26:B28&gt;=0,(C27*D27)/27," ")))</f>
        <v>3.6574074074074074</v>
      </c>
      <c r="F27" s="3"/>
      <c r="G27" s="2">
        <f>IF(F26="","",IF(F28="","",IF(F26:F28&gt;=0,(F26+F28)/2)))</f>
        <v>42.6</v>
      </c>
      <c r="H27" s="2">
        <f>IF(F26="","",IF(F28="","",IF(F26:F28&gt;=0,(A28-A26))))</f>
        <v>50</v>
      </c>
      <c r="I27" s="7">
        <f>IF(F26="","",IF(F28="","",IF(F26:F28&gt;=0,(G27*H27)/27)))</f>
        <v>78.888888888888886</v>
      </c>
    </row>
    <row r="28" spans="1:9" ht="15" customHeight="1" x14ac:dyDescent="0.2">
      <c r="A28" s="6">
        <f>A26+50</f>
        <v>1900</v>
      </c>
      <c r="B28" s="2">
        <v>0.05</v>
      </c>
      <c r="C28" s="34"/>
      <c r="D28" s="34"/>
      <c r="E28" s="34"/>
      <c r="F28" s="2">
        <f>(0.88+63.11+6.16)+0.5</f>
        <v>70.650000000000006</v>
      </c>
      <c r="G28" s="3"/>
      <c r="H28" s="3"/>
      <c r="I28" s="35"/>
    </row>
    <row r="29" spans="1:9" ht="15" customHeight="1" x14ac:dyDescent="0.2">
      <c r="A29" s="36"/>
      <c r="B29" s="3"/>
      <c r="C29" s="2">
        <f>IF(B28="","",IF(B30=""," ",IF(B28:B30&gt;=0,(B28+B30)/2)))</f>
        <v>3.07</v>
      </c>
      <c r="D29" s="2">
        <f>IF(B28="","",IF(B30="","",IF(B28:B30&gt;=0,(A30-A28))))</f>
        <v>50</v>
      </c>
      <c r="E29" s="2">
        <f>IF(B28="","",IF(B30="","",IF(B28:B30&gt;=0,(C29*D29)/27," ")))</f>
        <v>5.6851851851851851</v>
      </c>
      <c r="F29" s="3"/>
      <c r="G29" s="2">
        <f>IF(F28="","",IF(F30="","",IF(F28:F30&gt;=0,(F28+F30)/2)))</f>
        <v>37.275000000000006</v>
      </c>
      <c r="H29" s="2">
        <f>IF(F28="","",IF(F30="","",IF(F28:F30&gt;=0,(A30-A28))))</f>
        <v>50</v>
      </c>
      <c r="I29" s="7">
        <f>IF(F28="","",IF(F30="","",IF(F28:F30&gt;=0,(G29*H29)/27)))</f>
        <v>69.027777777777786</v>
      </c>
    </row>
    <row r="30" spans="1:9" ht="15" customHeight="1" x14ac:dyDescent="0.2">
      <c r="A30" s="6">
        <f>A28+50</f>
        <v>1950</v>
      </c>
      <c r="B30" s="2">
        <f>(0.29+2.56+2.74)+0.5</f>
        <v>6.09</v>
      </c>
      <c r="C30" s="34"/>
      <c r="D30" s="34"/>
      <c r="E30" s="34"/>
      <c r="F30" s="2">
        <f>(0.65+0.13+0.41+2.21)+0.5</f>
        <v>3.9</v>
      </c>
      <c r="G30" s="3"/>
      <c r="H30" s="3"/>
      <c r="I30" s="35"/>
    </row>
    <row r="31" spans="1:9" ht="15" customHeight="1" x14ac:dyDescent="0.2">
      <c r="A31" s="36"/>
      <c r="B31" s="3"/>
      <c r="C31" s="2">
        <f>IF(B30="","",IF(B32=""," ",IF(B30:B32&gt;=0,(B30+B32)/2)))</f>
        <v>7.53</v>
      </c>
      <c r="D31" s="2">
        <f>IF(B30="","",IF(B32="","",IF(B30:B32&gt;=0,(A32-A30))))</f>
        <v>50</v>
      </c>
      <c r="E31" s="2">
        <f>IF(B30="","",IF(B32="","",IF(B30:B32&gt;=0,(C31*D31)/27," ")))</f>
        <v>13.944444444444445</v>
      </c>
      <c r="F31" s="3"/>
      <c r="G31" s="2">
        <f>IF(F30="","",IF(F32="","",IF(F30:F32&gt;=0,(F30+F32)/2)))</f>
        <v>3.1399999999999997</v>
      </c>
      <c r="H31" s="2">
        <f>IF(F30="","",IF(F32="","",IF(F30:F32&gt;=0,(A32-A30))))</f>
        <v>50</v>
      </c>
      <c r="I31" s="7">
        <f>IF(F30="","",IF(F32="","",IF(F30:F32&gt;=0,(G31*H31)/27)))</f>
        <v>5.814814814814814</v>
      </c>
    </row>
    <row r="32" spans="1:9" ht="15" customHeight="1" x14ac:dyDescent="0.2">
      <c r="A32" s="6">
        <f>A30+50</f>
        <v>2000</v>
      </c>
      <c r="B32" s="2">
        <f>(2.55+1.96+3.47+0.49)+0.5</f>
        <v>8.9700000000000006</v>
      </c>
      <c r="C32" s="34"/>
      <c r="D32" s="34"/>
      <c r="E32" s="34"/>
      <c r="F32" s="2">
        <f>(0.32+0.73+0.83)+0.5</f>
        <v>2.38</v>
      </c>
      <c r="G32" s="3"/>
      <c r="H32" s="3"/>
      <c r="I32" s="35"/>
    </row>
    <row r="33" spans="1:9" ht="15" customHeight="1" x14ac:dyDescent="0.2">
      <c r="A33" s="36"/>
      <c r="B33" s="3"/>
      <c r="C33" s="2">
        <f>IF(B32="","",IF(B34=""," ",IF(B32:B34&gt;=0,(B32+B34)/2)))</f>
        <v>9.3249999999999993</v>
      </c>
      <c r="D33" s="2">
        <f>IF(B32="","",IF(B34="","",IF(B32:B34&gt;=0,(A34-A32))))</f>
        <v>50</v>
      </c>
      <c r="E33" s="2">
        <f>IF(B32="","",IF(B34="","",IF(B32:B34&gt;=0,(C33*D33)/27," ")))</f>
        <v>17.268518518518515</v>
      </c>
      <c r="F33" s="3"/>
      <c r="G33" s="2">
        <f>IF(F32="","",IF(F34="","",IF(F32:F34&gt;=0,(F32+F34)/2)))</f>
        <v>2.2850000000000001</v>
      </c>
      <c r="H33" s="2">
        <f>IF(F32="","",IF(F34="","",IF(F32:F34&gt;=0,(A34-A32))))</f>
        <v>50</v>
      </c>
      <c r="I33" s="7">
        <f>IF(F32="","",IF(F34="","",IF(F32:F34&gt;=0,(G33*H33)/27)))</f>
        <v>4.2314814814814818</v>
      </c>
    </row>
    <row r="34" spans="1:9" ht="15" customHeight="1" x14ac:dyDescent="0.2">
      <c r="A34" s="6">
        <f>A32+50</f>
        <v>2050</v>
      </c>
      <c r="B34" s="2">
        <f>(3.64+2.05+3.56+0.93)-0.5</f>
        <v>9.68</v>
      </c>
      <c r="C34" s="34"/>
      <c r="D34" s="34"/>
      <c r="E34" s="34"/>
      <c r="F34" s="2">
        <f>(0.6+0.49+0.6)+0.5</f>
        <v>2.19</v>
      </c>
      <c r="G34" s="3"/>
      <c r="H34" s="3"/>
      <c r="I34" s="35"/>
    </row>
    <row r="35" spans="1:9" ht="15" customHeight="1" x14ac:dyDescent="0.2">
      <c r="A35" s="36"/>
      <c r="B35" s="3"/>
      <c r="C35" s="2">
        <f>IF(B34="","",IF(B36=""," ",IF(B34:B36&gt;=0,(B34+B36)/2)))</f>
        <v>9.8149999999999995</v>
      </c>
      <c r="D35" s="2">
        <f>IF(B34="","",IF(B36="","",IF(B34:B36&gt;=0,(A36-A34))))</f>
        <v>50</v>
      </c>
      <c r="E35" s="2">
        <f>IF(B34="","",IF(B36="","",IF(B34:B36&gt;=0,(C35*D35)/27," ")))</f>
        <v>18.175925925925927</v>
      </c>
      <c r="F35" s="3"/>
      <c r="G35" s="2">
        <f>IF(F34="","",IF(F36="","",IF(F34:F36&gt;=0,(F34+F36)/2)))</f>
        <v>2.335</v>
      </c>
      <c r="H35" s="2">
        <f>IF(F34="","",IF(F36="","",IF(F34:F36&gt;=0,(A36-A34))))</f>
        <v>50</v>
      </c>
      <c r="I35" s="7">
        <f>IF(F34="","",IF(F36="","",IF(F34:F36&gt;=0,(G35*H35)/27)))</f>
        <v>4.3240740740740744</v>
      </c>
    </row>
    <row r="36" spans="1:9" ht="15" customHeight="1" x14ac:dyDescent="0.2">
      <c r="A36" s="6">
        <f>A34+50</f>
        <v>2100</v>
      </c>
      <c r="B36" s="2">
        <f>(2.44+2.03+3.9+1.08)+0.5</f>
        <v>9.9499999999999993</v>
      </c>
      <c r="C36" s="34"/>
      <c r="D36" s="34"/>
      <c r="E36" s="34"/>
      <c r="F36" s="2">
        <f>(0.57+0.58+0.83)+0.5</f>
        <v>2.48</v>
      </c>
      <c r="G36" s="3"/>
      <c r="H36" s="3"/>
      <c r="I36" s="35"/>
    </row>
    <row r="37" spans="1:9" ht="15" customHeight="1" x14ac:dyDescent="0.2">
      <c r="A37" s="36"/>
      <c r="B37" s="3"/>
      <c r="C37" s="2">
        <f>IF(B36="","",IF(B38=""," ",IF(B36:B38&gt;=0,(B36+B38)/2)))</f>
        <v>8.9149999999999991</v>
      </c>
      <c r="D37" s="2">
        <f>IF(B36="","",IF(B38="","",IF(B36:B38&gt;=0,(A38-A36))))</f>
        <v>50</v>
      </c>
      <c r="E37" s="2">
        <f>IF(B36="","",IF(B38="","",IF(B36:B38&gt;=0,(C37*D37)/27," ")))</f>
        <v>16.509259259259256</v>
      </c>
      <c r="F37" s="3"/>
      <c r="G37" s="2">
        <f>IF(F36="","",IF(F38="","",IF(F36:F38&gt;=0,(F36+F38)/2)))</f>
        <v>2.605</v>
      </c>
      <c r="H37" s="2">
        <f>IF(F36="","",IF(F38="","",IF(F36:F38&gt;=0,(A38-A36))))</f>
        <v>50</v>
      </c>
      <c r="I37" s="7">
        <f>IF(F36="","",IF(F38="","",IF(F36:F38&gt;=0,(G37*H37)/27)))</f>
        <v>4.8240740740740744</v>
      </c>
    </row>
    <row r="38" spans="1:9" ht="15" customHeight="1" x14ac:dyDescent="0.2">
      <c r="A38" s="6">
        <f>A36+50</f>
        <v>2150</v>
      </c>
      <c r="B38" s="2">
        <f>(2.11+1.55+3.55+1.17)-0.5</f>
        <v>7.879999999999999</v>
      </c>
      <c r="C38" s="34"/>
      <c r="D38" s="34"/>
      <c r="E38" s="34"/>
      <c r="F38" s="2">
        <f>(0.66+0.85+0.72)+0.5</f>
        <v>2.73</v>
      </c>
      <c r="G38" s="3"/>
      <c r="H38" s="3"/>
      <c r="I38" s="35"/>
    </row>
    <row r="39" spans="1:9" ht="15" customHeight="1" x14ac:dyDescent="0.2">
      <c r="A39" s="36"/>
      <c r="B39" s="3"/>
      <c r="C39" s="2">
        <f>IF(B38="","",IF(B40=""," ",IF(B38:B40&gt;=0,(B38+B40)/2)))</f>
        <v>4.3899999999999997</v>
      </c>
      <c r="D39" s="2">
        <f>IF(B38="","",IF(B40="","",IF(B38:B40&gt;=0,(A40-A38))))</f>
        <v>34</v>
      </c>
      <c r="E39" s="2">
        <f>IF(B38="","",IF(B40="","",IF(B38:B40&gt;=0,(C39*D39)/27," ")))</f>
        <v>5.5281481481481478</v>
      </c>
      <c r="F39" s="3"/>
      <c r="G39" s="2">
        <f>IF(F38="","",IF(F40="","",IF(F38:F40&gt;=0,(F38+F40)/2)))</f>
        <v>1.9649999999999999</v>
      </c>
      <c r="H39" s="2">
        <f>IF(F38="","",IF(F40="","",IF(F38:F40&gt;=0,(A40-A38))))</f>
        <v>34</v>
      </c>
      <c r="I39" s="7">
        <f>IF(F38="","",IF(F40="","",IF(F38:F40&gt;=0,(G39*H39)/27)))</f>
        <v>2.4744444444444444</v>
      </c>
    </row>
    <row r="40" spans="1:9" ht="15" customHeight="1" x14ac:dyDescent="0.2">
      <c r="A40" s="6">
        <v>2184</v>
      </c>
      <c r="B40" s="2">
        <f>(0.19+0.21)+0.5</f>
        <v>0.9</v>
      </c>
      <c r="C40" s="34"/>
      <c r="D40" s="34"/>
      <c r="E40" s="34"/>
      <c r="F40" s="2">
        <v>1.2</v>
      </c>
      <c r="G40" s="3"/>
      <c r="H40" s="3"/>
      <c r="I40" s="35"/>
    </row>
    <row r="41" spans="1:9" ht="15" customHeight="1" x14ac:dyDescent="0.2">
      <c r="A41" s="36"/>
      <c r="B41" s="3"/>
      <c r="C41" s="2" t="str">
        <f>IF(B40="","",IF(B42=""," ",IF(B40:B42&gt;=0,(B40+B42)/2)))</f>
        <v xml:space="preserve"> </v>
      </c>
      <c r="D41" s="2" t="str">
        <f>IF(B40="","",IF(B42="","",IF(B40:B42&gt;=0,(A42-A40))))</f>
        <v/>
      </c>
      <c r="E41" s="2" t="str">
        <f>IF(B40="","",IF(B42="","",IF(B40:B42&gt;=0,(C41*D41)/27," ")))</f>
        <v/>
      </c>
      <c r="F41" s="3"/>
      <c r="G41" s="2" t="str">
        <f>IF(F40="","",IF(F42="","",IF(F40:F42&gt;=0,(F40+F42)/2)))</f>
        <v/>
      </c>
      <c r="H41" s="2" t="str">
        <f>IF(F40="","",IF(F42="","",IF(F40:F42&gt;=0,(A42-A40))))</f>
        <v/>
      </c>
      <c r="I41" s="7" t="str">
        <f>IF(F40="","",IF(F42="","",IF(F40:F42&gt;=0,(G41*H41)/27)))</f>
        <v/>
      </c>
    </row>
    <row r="42" spans="1:9" ht="15" customHeight="1" x14ac:dyDescent="0.2">
      <c r="A42" s="8"/>
      <c r="B42" s="4"/>
      <c r="C42" s="37"/>
      <c r="D42" s="37"/>
      <c r="E42" s="37"/>
      <c r="F42" s="4"/>
      <c r="G42" s="38"/>
      <c r="H42" s="38"/>
      <c r="I42" s="39"/>
    </row>
    <row r="43" spans="1:9" ht="15" customHeight="1" x14ac:dyDescent="0.2">
      <c r="A43" s="10"/>
      <c r="D43" s="12" t="s">
        <v>17</v>
      </c>
      <c r="E43" s="40">
        <f>IF(A14&gt;=0,SUM(E13:E42)," ")</f>
        <v>148.10222222222222</v>
      </c>
      <c r="H43" s="12" t="s">
        <v>18</v>
      </c>
      <c r="I43" s="41">
        <f>IF(F14&gt;=0,SUM(I13:I42)," ")</f>
        <v>336.23370370370367</v>
      </c>
    </row>
    <row r="44" spans="1:9" ht="5.0999999999999996" customHeight="1" x14ac:dyDescent="0.2">
      <c r="A44" s="42"/>
      <c r="B44" s="25"/>
      <c r="C44" s="25"/>
      <c r="D44" s="43"/>
      <c r="E44" s="44"/>
      <c r="F44" s="25"/>
      <c r="G44" s="25"/>
      <c r="H44" s="43"/>
      <c r="I44" s="45"/>
    </row>
    <row r="45" spans="1:9" x14ac:dyDescent="0.2">
      <c r="A45" s="46" t="s">
        <v>19</v>
      </c>
      <c r="B45" s="47"/>
      <c r="C45" s="47"/>
      <c r="D45" s="47"/>
      <c r="E45" s="47"/>
      <c r="F45" s="47"/>
      <c r="G45" s="47"/>
      <c r="H45" s="47"/>
      <c r="I45" s="48"/>
    </row>
    <row r="46" spans="1:9" x14ac:dyDescent="0.2">
      <c r="A46" s="49" t="s">
        <v>20</v>
      </c>
      <c r="B46" s="50"/>
      <c r="C46" s="50"/>
      <c r="D46" s="50"/>
      <c r="E46" s="50"/>
      <c r="F46" s="50"/>
      <c r="G46" s="50"/>
      <c r="H46" s="50"/>
      <c r="I46" s="51"/>
    </row>
    <row r="47" spans="1:9" x14ac:dyDescent="0.2">
      <c r="A47" s="10"/>
      <c r="E47" s="52"/>
      <c r="G47" s="53"/>
      <c r="I47" s="54"/>
    </row>
    <row r="48" spans="1:9" x14ac:dyDescent="0.2">
      <c r="A48" s="10"/>
      <c r="D48" s="12"/>
      <c r="E48" s="52"/>
      <c r="H48" s="12"/>
      <c r="I48" s="54"/>
    </row>
    <row r="49" spans="1:9" x14ac:dyDescent="0.2">
      <c r="A49" s="64" t="s">
        <v>21</v>
      </c>
      <c r="B49" s="65"/>
      <c r="C49" s="65"/>
      <c r="D49" s="5">
        <v>45756</v>
      </c>
      <c r="E49" s="55"/>
      <c r="F49" s="65"/>
      <c r="G49" s="65"/>
      <c r="H49" s="65"/>
      <c r="I49" s="9"/>
    </row>
    <row r="50" spans="1:9" x14ac:dyDescent="0.2">
      <c r="A50" s="56" t="s">
        <v>22</v>
      </c>
      <c r="B50" s="57"/>
      <c r="C50" s="57"/>
      <c r="D50" s="58" t="s">
        <v>4</v>
      </c>
      <c r="F50" s="57" t="s">
        <v>23</v>
      </c>
      <c r="G50" s="57"/>
      <c r="H50" s="57"/>
      <c r="I50" s="59" t="s">
        <v>4</v>
      </c>
    </row>
    <row r="51" spans="1:9" x14ac:dyDescent="0.2">
      <c r="A51" s="10"/>
      <c r="I51" s="11"/>
    </row>
    <row r="52" spans="1:9" x14ac:dyDescent="0.2">
      <c r="A52" s="10"/>
      <c r="I52" s="11"/>
    </row>
    <row r="53" spans="1:9" x14ac:dyDescent="0.2">
      <c r="A53" s="63" t="s">
        <v>24</v>
      </c>
      <c r="B53" s="60"/>
      <c r="C53" s="60"/>
      <c r="D53" s="60"/>
      <c r="E53" s="60"/>
      <c r="F53" s="60"/>
      <c r="G53" s="60"/>
      <c r="H53" s="60"/>
      <c r="I53" s="61"/>
    </row>
    <row r="54" spans="1:9" x14ac:dyDescent="0.2">
      <c r="A54" s="10"/>
    </row>
  </sheetData>
  <mergeCells count="8">
    <mergeCell ref="A49:C49"/>
    <mergeCell ref="F49:H49"/>
    <mergeCell ref="A1:B1"/>
    <mergeCell ref="C1:I1"/>
    <mergeCell ref="B3:C3"/>
    <mergeCell ref="E3:F3"/>
    <mergeCell ref="H3:I3"/>
    <mergeCell ref="B4:C4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52C396F995CA41B0028D19B3C8E7AA" ma:contentTypeVersion="9" ma:contentTypeDescription="Create a new document." ma:contentTypeScope="" ma:versionID="9f6a9118f0886fdcfb896e951c4bd101">
  <xsd:schema xmlns:xsd="http://www.w3.org/2001/XMLSchema" xmlns:xs="http://www.w3.org/2001/XMLSchema" xmlns:p="http://schemas.microsoft.com/office/2006/metadata/properties" xmlns:ns2="dfcfe2a4-78c4-4618-87c6-2ede5d81df59" xmlns:ns3="9c16dc54-5a24-4afd-a61c-664ec7eab416" targetNamespace="http://schemas.microsoft.com/office/2006/metadata/properties" ma:root="true" ma:fieldsID="98c0ec96503409dca92c62510f40da36" ns2:_="" ns3:_="">
    <xsd:import namespace="dfcfe2a4-78c4-4618-87c6-2ede5d81df59"/>
    <xsd:import namespace="9c16dc54-5a24-4afd-a61c-664ec7eab416"/>
    <xsd:element name="properties">
      <xsd:complexType>
        <xsd:sequence>
          <xsd:element name="documentManagement">
            <xsd:complexType>
              <xsd:all>
                <xsd:element ref="ns2:Date" minOccurs="0"/>
                <xsd:element ref="ns2:Letting_x0020_Date" minOccurs="0"/>
                <xsd:element ref="ns2:Letting_x0020_Date_x003a_Title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cfe2a4-78c4-4618-87c6-2ede5d81df59" elementFormDefault="qualified">
    <xsd:import namespace="http://schemas.microsoft.com/office/2006/documentManagement/types"/>
    <xsd:import namespace="http://schemas.microsoft.com/office/infopath/2007/PartnerControls"/>
    <xsd:element name="Date" ma:index="2" nillable="true" ma:displayName="Date" ma:default="[today]" ma:format="DateOnly" ma:internalName="Date" ma:readOnly="false">
      <xsd:simpleType>
        <xsd:restriction base="dms:DateTime"/>
      </xsd:simpleType>
    </xsd:element>
    <xsd:element name="Letting_x0020_Date" ma:index="3" nillable="true" ma:displayName="Letting Date" ma:list="{23c45ea9-9303-4740-a1d8-eb69368457e0}" ma:internalName="Letting_x0020_Date" ma:readOnly="false" ma:showField="Letting_x0020_Date">
      <xsd:simpleType>
        <xsd:restriction base="dms:Lookup"/>
      </xsd:simpleType>
    </xsd:element>
    <xsd:element name="Letting_x0020_Date_x003a_Title" ma:index="6" nillable="true" ma:displayName="Letting Date:Title" ma:list="{23c45ea9-9303-4740-a1d8-eb69368457e0}" ma:internalName="Letting_x0020_Date_x003a_Title" ma:readOnly="true" ma:showField="Title" ma:web="414c989b-f62e-465c-b29e-50aa05b53d7e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16dc54-5a24-4afd-a61c-664ec7eab416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e xmlns="dfcfe2a4-78c4-4618-87c6-2ede5d81df59">2026-09-22T04:00:00+00:00</Date>
    <Letting_x0020_Date xmlns="dfcfe2a4-78c4-4618-87c6-2ede5d81df59">286</Letting_x0020_Date>
  </documentManagement>
</p:properties>
</file>

<file path=customXml/itemProps1.xml><?xml version="1.0" encoding="utf-8"?>
<ds:datastoreItem xmlns:ds="http://schemas.openxmlformats.org/officeDocument/2006/customXml" ds:itemID="{34FE210B-5816-43FD-A0E7-3B19FB72447D}"/>
</file>

<file path=customXml/itemProps2.xml><?xml version="1.0" encoding="utf-8"?>
<ds:datastoreItem xmlns:ds="http://schemas.openxmlformats.org/officeDocument/2006/customXml" ds:itemID="{CA580D43-116C-4996-AACF-0F9F709A4899}"/>
</file>

<file path=customXml/itemProps3.xml><?xml version="1.0" encoding="utf-8"?>
<ds:datastoreItem xmlns:ds="http://schemas.openxmlformats.org/officeDocument/2006/customXml" ds:itemID="{034EEF27-1DE1-442B-A646-A9B9C1CD79B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CA-EW-1</vt:lpstr>
      <vt:lpstr>CA-EW-2</vt:lpstr>
      <vt:lpstr>CA-EW-3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Call 103 - CID 26-4533 - McCracken County - 01_9031_00 EAV CALCS</dc:title>
  <dc:creator>O'Neal, Sheree A (KYTC)</dc:creator>
  <cp:lastModifiedBy>O'Neal, Sheree A (KYTC)</cp:lastModifiedBy>
  <dcterms:created xsi:type="dcterms:W3CDTF">2026-09-22T19:04:23Z</dcterms:created>
  <dcterms:modified xsi:type="dcterms:W3CDTF">2026-09-22T19:04:23Z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lder_Number">
    <vt:lpwstr/>
  </property>
  <property fmtid="{D5CDD505-2E9C-101B-9397-08002B2CF9AE}" pid="3" name="Folder_Code">
    <vt:lpwstr/>
  </property>
  <property fmtid="{D5CDD505-2E9C-101B-9397-08002B2CF9AE}" pid="4" name="Folder_Name">
    <vt:lpwstr/>
  </property>
  <property fmtid="{D5CDD505-2E9C-101B-9397-08002B2CF9AE}" pid="5" name="Folder_Description">
    <vt:lpwstr/>
  </property>
  <property fmtid="{D5CDD505-2E9C-101B-9397-08002B2CF9AE}" pid="6" name="/Folder_Name/">
    <vt:lpwstr/>
  </property>
  <property fmtid="{D5CDD505-2E9C-101B-9397-08002B2CF9AE}" pid="7" name="/Folder_Description/">
    <vt:lpwstr/>
  </property>
  <property fmtid="{D5CDD505-2E9C-101B-9397-08002B2CF9AE}" pid="8" name="Folder_Version">
    <vt:lpwstr/>
  </property>
  <property fmtid="{D5CDD505-2E9C-101B-9397-08002B2CF9AE}" pid="9" name="Folder_VersionSeq">
    <vt:lpwstr/>
  </property>
  <property fmtid="{D5CDD505-2E9C-101B-9397-08002B2CF9AE}" pid="10" name="Folder_Manager">
    <vt:lpwstr/>
  </property>
  <property fmtid="{D5CDD505-2E9C-101B-9397-08002B2CF9AE}" pid="11" name="Folder_ManagerDesc">
    <vt:lpwstr/>
  </property>
  <property fmtid="{D5CDD505-2E9C-101B-9397-08002B2CF9AE}" pid="12" name="Folder_Storage">
    <vt:lpwstr/>
  </property>
  <property fmtid="{D5CDD505-2E9C-101B-9397-08002B2CF9AE}" pid="13" name="Folder_StorageDesc">
    <vt:lpwstr/>
  </property>
  <property fmtid="{D5CDD505-2E9C-101B-9397-08002B2CF9AE}" pid="14" name="Folder_Creator">
    <vt:lpwstr/>
  </property>
  <property fmtid="{D5CDD505-2E9C-101B-9397-08002B2CF9AE}" pid="15" name="Folder_CreatorDesc">
    <vt:lpwstr/>
  </property>
  <property fmtid="{D5CDD505-2E9C-101B-9397-08002B2CF9AE}" pid="16" name="Folder_CreateDate">
    <vt:lpwstr/>
  </property>
  <property fmtid="{D5CDD505-2E9C-101B-9397-08002B2CF9AE}" pid="17" name="Folder_Updater">
    <vt:lpwstr/>
  </property>
  <property fmtid="{D5CDD505-2E9C-101B-9397-08002B2CF9AE}" pid="18" name="Folder_UpdaterDesc">
    <vt:lpwstr/>
  </property>
  <property fmtid="{D5CDD505-2E9C-101B-9397-08002B2CF9AE}" pid="19" name="Folder_UpdateDate">
    <vt:lpwstr/>
  </property>
  <property fmtid="{D5CDD505-2E9C-101B-9397-08002B2CF9AE}" pid="20" name="Document_Number">
    <vt:lpwstr/>
  </property>
  <property fmtid="{D5CDD505-2E9C-101B-9397-08002B2CF9AE}" pid="21" name="Document_Name">
    <vt:lpwstr/>
  </property>
  <property fmtid="{D5CDD505-2E9C-101B-9397-08002B2CF9AE}" pid="22" name="Document_FileName">
    <vt:lpwstr/>
  </property>
  <property fmtid="{D5CDD505-2E9C-101B-9397-08002B2CF9AE}" pid="23" name="Document_Version">
    <vt:lpwstr/>
  </property>
  <property fmtid="{D5CDD505-2E9C-101B-9397-08002B2CF9AE}" pid="24" name="Document_VersionSeq">
    <vt:lpwstr/>
  </property>
  <property fmtid="{D5CDD505-2E9C-101B-9397-08002B2CF9AE}" pid="25" name="Document_Creator">
    <vt:lpwstr/>
  </property>
  <property fmtid="{D5CDD505-2E9C-101B-9397-08002B2CF9AE}" pid="26" name="Document_CreatorDesc">
    <vt:lpwstr/>
  </property>
  <property fmtid="{D5CDD505-2E9C-101B-9397-08002B2CF9AE}" pid="27" name="Document_CreateDate">
    <vt:lpwstr/>
  </property>
  <property fmtid="{D5CDD505-2E9C-101B-9397-08002B2CF9AE}" pid="28" name="Document_Updater">
    <vt:lpwstr/>
  </property>
  <property fmtid="{D5CDD505-2E9C-101B-9397-08002B2CF9AE}" pid="29" name="Document_UpdaterDesc">
    <vt:lpwstr/>
  </property>
  <property fmtid="{D5CDD505-2E9C-101B-9397-08002B2CF9AE}" pid="30" name="Document_UpdateDate">
    <vt:lpwstr/>
  </property>
  <property fmtid="{D5CDD505-2E9C-101B-9397-08002B2CF9AE}" pid="31" name="Document_Size">
    <vt:lpwstr/>
  </property>
  <property fmtid="{D5CDD505-2E9C-101B-9397-08002B2CF9AE}" pid="32" name="Document_Storage">
    <vt:lpwstr/>
  </property>
  <property fmtid="{D5CDD505-2E9C-101B-9397-08002B2CF9AE}" pid="33" name="Document_StorageDesc">
    <vt:lpwstr/>
  </property>
  <property fmtid="{D5CDD505-2E9C-101B-9397-08002B2CF9AE}" pid="34" name="Document_Department">
    <vt:lpwstr/>
  </property>
  <property fmtid="{D5CDD505-2E9C-101B-9397-08002B2CF9AE}" pid="35" name="Document_DepartmentDesc">
    <vt:lpwstr/>
  </property>
  <property fmtid="{D5CDD505-2E9C-101B-9397-08002B2CF9AE}" pid="36" name="ContentTypeId">
    <vt:lpwstr>0x010100BF52C396F995CA41B0028D19B3C8E7AA</vt:lpwstr>
  </property>
</Properties>
</file>